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/>
  <bookViews>
    <workbookView xWindow="120" yWindow="285" windowWidth="20730" windowHeight="10875"/>
  </bookViews>
  <sheets>
    <sheet name="Final" sheetId="1" r:id="rId1"/>
    <sheet name="Changes" sheetId="3" r:id="rId2"/>
  </sheets>
  <definedNames>
    <definedName name="_xlnm.Print_Titles" localSheetId="1">Changes!$1:$4</definedName>
    <definedName name="_xlnm.Print_Titles" localSheetId="0">Final!$1:$4</definedName>
  </definedNames>
  <calcPr calcId="145621"/>
</workbook>
</file>

<file path=xl/calcChain.xml><?xml version="1.0" encoding="utf-8"?>
<calcChain xmlns="http://schemas.openxmlformats.org/spreadsheetml/2006/main">
  <c r="D163" i="3" l="1"/>
  <c r="F163" i="3" s="1"/>
  <c r="D162" i="3"/>
  <c r="F162" i="3" s="1"/>
  <c r="D161" i="3"/>
  <c r="F161" i="3" s="1"/>
  <c r="D160" i="3"/>
  <c r="F160" i="3" s="1"/>
  <c r="D154" i="3"/>
  <c r="F154" i="3" s="1"/>
  <c r="D153" i="3"/>
  <c r="F153" i="3" s="1"/>
  <c r="D152" i="3"/>
  <c r="F152" i="3" s="1"/>
  <c r="D151" i="3"/>
  <c r="F151" i="3" s="1"/>
  <c r="D150" i="3"/>
  <c r="F150" i="3" s="1"/>
  <c r="D149" i="3"/>
  <c r="F149" i="3" s="1"/>
  <c r="D148" i="3"/>
  <c r="F148" i="3" s="1"/>
  <c r="D147" i="3"/>
  <c r="F147" i="3" s="1"/>
  <c r="D143" i="3"/>
  <c r="F143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1" i="3"/>
  <c r="F131" i="3" s="1"/>
  <c r="D130" i="3"/>
  <c r="F130" i="3" s="1"/>
  <c r="D129" i="3"/>
  <c r="F129" i="3" s="1"/>
  <c r="D128" i="3"/>
  <c r="F128" i="3" s="1"/>
  <c r="D127" i="3"/>
  <c r="F127" i="3" s="1"/>
  <c r="D126" i="3"/>
  <c r="D125" i="3"/>
  <c r="F125" i="3" s="1"/>
  <c r="D124" i="3"/>
  <c r="F124" i="3" s="1"/>
  <c r="D123" i="3"/>
  <c r="F123" i="3" s="1"/>
  <c r="D122" i="3"/>
  <c r="F122" i="3" s="1"/>
  <c r="D118" i="3"/>
  <c r="F118" i="3" s="1"/>
  <c r="D117" i="3"/>
  <c r="F117" i="3" s="1"/>
  <c r="D116" i="3"/>
  <c r="F116" i="3" s="1"/>
  <c r="D115" i="3"/>
  <c r="F115" i="3" s="1"/>
  <c r="D114" i="3"/>
  <c r="F114" i="3" s="1"/>
  <c r="D113" i="3"/>
  <c r="F113" i="3" s="1"/>
  <c r="D109" i="3"/>
  <c r="F109" i="3" s="1"/>
  <c r="D108" i="3"/>
  <c r="F108" i="3" s="1"/>
  <c r="D107" i="3"/>
  <c r="F107" i="3" s="1"/>
  <c r="D106" i="3"/>
  <c r="F106" i="3" s="1"/>
  <c r="D105" i="3"/>
  <c r="F105" i="3" s="1"/>
  <c r="D104" i="3"/>
  <c r="F104" i="3" s="1"/>
  <c r="D100" i="3"/>
  <c r="F100" i="3" s="1"/>
  <c r="D99" i="3"/>
  <c r="F99" i="3" s="1"/>
  <c r="D95" i="3"/>
  <c r="F95" i="3" s="1"/>
  <c r="D94" i="3"/>
  <c r="F94" i="3" s="1"/>
  <c r="F96" i="3" s="1"/>
  <c r="D90" i="3"/>
  <c r="F90" i="3" s="1"/>
  <c r="D89" i="3"/>
  <c r="F89" i="3" s="1"/>
  <c r="D88" i="3"/>
  <c r="F88" i="3" s="1"/>
  <c r="D87" i="3"/>
  <c r="F87" i="3" s="1"/>
  <c r="D86" i="3"/>
  <c r="F86" i="3" s="1"/>
  <c r="F91" i="3" s="1"/>
  <c r="D80" i="3"/>
  <c r="F80" i="3" s="1"/>
  <c r="D79" i="3"/>
  <c r="F79" i="3" s="1"/>
  <c r="D78" i="3"/>
  <c r="F78" i="3" s="1"/>
  <c r="D77" i="3"/>
  <c r="F77" i="3" s="1"/>
  <c r="D76" i="3"/>
  <c r="F76" i="3" s="1"/>
  <c r="D75" i="3"/>
  <c r="F75" i="3" s="1"/>
  <c r="D74" i="3"/>
  <c r="F74" i="3" s="1"/>
  <c r="D70" i="3"/>
  <c r="F70" i="3" s="1"/>
  <c r="D69" i="3"/>
  <c r="F69" i="3" s="1"/>
  <c r="D68" i="3"/>
  <c r="F68" i="3" s="1"/>
  <c r="D67" i="3"/>
  <c r="F67" i="3" s="1"/>
  <c r="D66" i="3"/>
  <c r="F66" i="3" s="1"/>
  <c r="F71" i="3" s="1"/>
  <c r="D63" i="3"/>
  <c r="F63" i="3" s="1"/>
  <c r="D60" i="3"/>
  <c r="F60" i="3" s="1"/>
  <c r="D59" i="3"/>
  <c r="F59" i="3" s="1"/>
  <c r="F61" i="3" s="1"/>
  <c r="D55" i="3"/>
  <c r="F55" i="3" s="1"/>
  <c r="D54" i="3"/>
  <c r="F54" i="3" s="1"/>
  <c r="D53" i="3"/>
  <c r="F53" i="3" s="1"/>
  <c r="D49" i="3"/>
  <c r="F49" i="3" s="1"/>
  <c r="D48" i="3"/>
  <c r="F48" i="3" s="1"/>
  <c r="D47" i="3"/>
  <c r="D46" i="3"/>
  <c r="F46" i="3" s="1"/>
  <c r="D43" i="3"/>
  <c r="F43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0" i="3"/>
  <c r="D29" i="3"/>
  <c r="F29" i="3" s="1"/>
  <c r="D28" i="3"/>
  <c r="F28" i="3" s="1"/>
  <c r="D27" i="3"/>
  <c r="F27" i="3" s="1"/>
  <c r="D26" i="3"/>
  <c r="D20" i="3"/>
  <c r="F20" i="3" s="1"/>
  <c r="D19" i="3"/>
  <c r="F19" i="3" s="1"/>
  <c r="D18" i="3"/>
  <c r="F18" i="3" s="1"/>
  <c r="D17" i="3"/>
  <c r="F17" i="3" s="1"/>
  <c r="D16" i="3"/>
  <c r="D8" i="3"/>
  <c r="F8" i="3" s="1"/>
  <c r="D9" i="3"/>
  <c r="F9" i="3" s="1"/>
  <c r="D10" i="3"/>
  <c r="F10" i="3" s="1"/>
  <c r="D11" i="3"/>
  <c r="F11" i="3" s="1"/>
  <c r="D12" i="3"/>
  <c r="F12" i="3" s="1"/>
  <c r="D7" i="3"/>
  <c r="F7" i="3" s="1"/>
  <c r="E164" i="3"/>
  <c r="E155" i="3"/>
  <c r="E144" i="3"/>
  <c r="E156" i="3" s="1"/>
  <c r="E127" i="3"/>
  <c r="E126" i="3"/>
  <c r="E110" i="3"/>
  <c r="E81" i="3"/>
  <c r="E71" i="3"/>
  <c r="E61" i="3"/>
  <c r="E56" i="3"/>
  <c r="E50" i="3"/>
  <c r="E82" i="3" s="1"/>
  <c r="E47" i="3"/>
  <c r="E41" i="3"/>
  <c r="E21" i="3"/>
  <c r="E13" i="3"/>
  <c r="E22" i="3" s="1"/>
  <c r="D21" i="3" l="1"/>
  <c r="F16" i="3"/>
  <c r="F21" i="3" s="1"/>
  <c r="F50" i="3"/>
  <c r="F56" i="3"/>
  <c r="F155" i="3"/>
  <c r="F164" i="3"/>
  <c r="F13" i="3"/>
  <c r="F41" i="3"/>
  <c r="F47" i="3"/>
  <c r="F101" i="3"/>
  <c r="F119" i="3"/>
  <c r="F144" i="3"/>
  <c r="F81" i="3"/>
  <c r="F110" i="3"/>
  <c r="F126" i="3"/>
  <c r="F132" i="3" s="1"/>
  <c r="F133" i="3" s="1"/>
  <c r="E26" i="3"/>
  <c r="E30" i="3" s="1"/>
  <c r="E31" i="3" s="1"/>
  <c r="F22" i="3" l="1"/>
  <c r="F30" i="3"/>
  <c r="F31" i="3" s="1"/>
  <c r="F166" i="3" s="1"/>
  <c r="F167" i="3" s="1"/>
  <c r="F82" i="3"/>
  <c r="F156" i="3"/>
  <c r="F26" i="3"/>
  <c r="D164" i="3"/>
  <c r="G164" i="3" s="1"/>
  <c r="G163" i="3"/>
  <c r="G162" i="3"/>
  <c r="G161" i="3"/>
  <c r="G160" i="3"/>
  <c r="D155" i="3"/>
  <c r="G155" i="3" s="1"/>
  <c r="G154" i="3"/>
  <c r="G153" i="3"/>
  <c r="G152" i="3"/>
  <c r="G151" i="3"/>
  <c r="G150" i="3"/>
  <c r="G149" i="3"/>
  <c r="G148" i="3"/>
  <c r="G147" i="3"/>
  <c r="D144" i="3"/>
  <c r="G143" i="3"/>
  <c r="G142" i="3"/>
  <c r="G141" i="3"/>
  <c r="G140" i="3"/>
  <c r="G139" i="3"/>
  <c r="G138" i="3"/>
  <c r="G137" i="3"/>
  <c r="G131" i="3"/>
  <c r="G130" i="3"/>
  <c r="G129" i="3"/>
  <c r="G128" i="3"/>
  <c r="G127" i="3"/>
  <c r="G126" i="3"/>
  <c r="G125" i="3"/>
  <c r="G124" i="3"/>
  <c r="G118" i="3"/>
  <c r="G114" i="3"/>
  <c r="D110" i="3"/>
  <c r="G110" i="3" s="1"/>
  <c r="G109" i="3"/>
  <c r="G108" i="3"/>
  <c r="G107" i="3"/>
  <c r="G106" i="3"/>
  <c r="G105" i="3"/>
  <c r="G104" i="3"/>
  <c r="G100" i="3"/>
  <c r="G95" i="3"/>
  <c r="G90" i="3"/>
  <c r="G89" i="3"/>
  <c r="G88" i="3"/>
  <c r="G87" i="3"/>
  <c r="D81" i="3"/>
  <c r="G80" i="3"/>
  <c r="G79" i="3"/>
  <c r="G78" i="3"/>
  <c r="G77" i="3"/>
  <c r="G76" i="3"/>
  <c r="G75" i="3"/>
  <c r="G74" i="3"/>
  <c r="D71" i="3"/>
  <c r="G70" i="3"/>
  <c r="G69" i="3"/>
  <c r="G68" i="3"/>
  <c r="G67" i="3"/>
  <c r="G66" i="3"/>
  <c r="G63" i="3"/>
  <c r="D61" i="3"/>
  <c r="G61" i="3" s="1"/>
  <c r="G60" i="3"/>
  <c r="G59" i="3"/>
  <c r="D56" i="3"/>
  <c r="G56" i="3" s="1"/>
  <c r="G55" i="3"/>
  <c r="G54" i="3"/>
  <c r="G53" i="3"/>
  <c r="G49" i="3"/>
  <c r="G48" i="3"/>
  <c r="G47" i="3"/>
  <c r="D50" i="3"/>
  <c r="G46" i="3"/>
  <c r="G43" i="3"/>
  <c r="D41" i="3"/>
  <c r="G41" i="3" s="1"/>
  <c r="G40" i="3"/>
  <c r="G39" i="3"/>
  <c r="G38" i="3"/>
  <c r="G37" i="3"/>
  <c r="G36" i="3"/>
  <c r="G35" i="3"/>
  <c r="G21" i="3"/>
  <c r="G20" i="3"/>
  <c r="G19" i="3"/>
  <c r="G18" i="3"/>
  <c r="G17" i="3"/>
  <c r="G16" i="3"/>
  <c r="G12" i="3"/>
  <c r="G11" i="3"/>
  <c r="G10" i="3"/>
  <c r="G9" i="3"/>
  <c r="G8" i="3"/>
  <c r="D13" i="3"/>
  <c r="D156" i="3" l="1"/>
  <c r="G144" i="3"/>
  <c r="G81" i="3"/>
  <c r="G71" i="3"/>
  <c r="D22" i="3"/>
  <c r="D82" i="3"/>
  <c r="G50" i="3"/>
  <c r="G7" i="3"/>
  <c r="G13" i="3"/>
  <c r="G156" i="3"/>
  <c r="D7" i="1"/>
  <c r="G82" i="3" l="1"/>
  <c r="D31" i="3"/>
  <c r="G22" i="3"/>
  <c r="C133" i="1"/>
  <c r="G31" i="3" l="1"/>
  <c r="D123" i="1"/>
  <c r="D117" i="1"/>
  <c r="D116" i="1"/>
  <c r="D115" i="1"/>
  <c r="D113" i="1"/>
  <c r="D99" i="1"/>
  <c r="D94" i="1"/>
  <c r="D86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  <c r="D91" i="3"/>
  <c r="D96" i="3"/>
  <c r="D101" i="3"/>
  <c r="D119" i="3" l="1"/>
  <c r="D132" i="3"/>
  <c r="D133" i="3" s="1"/>
  <c r="D166" i="3" l="1"/>
  <c r="G122" i="3" l="1"/>
  <c r="D167" i="3"/>
  <c r="E91" i="3"/>
  <c r="G91" i="3" s="1"/>
  <c r="G86" i="3"/>
  <c r="E96" i="3"/>
  <c r="G94" i="3"/>
  <c r="G96" i="3" l="1"/>
  <c r="G99" i="3"/>
  <c r="E101" i="3"/>
  <c r="G101" i="3" s="1"/>
  <c r="G113" i="3"/>
  <c r="G115" i="3"/>
  <c r="G116" i="3"/>
  <c r="E119" i="3"/>
  <c r="G119" i="3" s="1"/>
  <c r="G117" i="3"/>
  <c r="G123" i="3"/>
  <c r="E132" i="3"/>
  <c r="G132" i="3" s="1"/>
  <c r="E133" i="3"/>
  <c r="G133" i="3" s="1"/>
  <c r="E166" i="3" l="1"/>
  <c r="G166" i="3" s="1"/>
  <c r="E167" i="3" l="1"/>
  <c r="G167" i="3" s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E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<sst xmlns="http://schemas.openxmlformats.org/spreadsheetml/2006/main" count="349" uniqueCount="174">
  <si>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</si>
  <si>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</si>
  <si>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</si>
  <si>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</si>
  <si>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</si>
  <si>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</si>
  <si>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</si>
  <si>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</si>
  <si>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</si>
  <si>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</si>
  <si>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</si>
  <si>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</si>
  <si>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</si>
  <si>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</si>
  <si>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</si>
  <si>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</si>
  <si>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</si>
  <si>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</si>
  <si>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</si>
  <si>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</si>
  <si>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</si>
  <si>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</si>
  <si>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</si>
  <si>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</si>
  <si>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</si>
  <si>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</si>
  <si>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</si>
  <si>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</si>
  <si>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</si>
  <si>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</si>
  <si>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</si>
  <si>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</si>
  <si>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</si>
  <si>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</si>
  <si>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</si>
  <si>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</si>
  <si>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</si>
  <si>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</si>
  <si>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</si>
  <si>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</si>
  <si>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</si>
  <si>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</si>
  <si>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</si>
  <si>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</si>
  <si>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</si>
  <si>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</si>
  <si>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</si>
  <si>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</si>
  <si>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</si>
  <si>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</si>
  <si>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</si>
  <si>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</si>
  <si>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</si>
  <si>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</si>
  <si>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</si>
  <si>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</si>
  <si>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</si>
  <si>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</si>
  <si>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</si>
  <si>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</si>
  <si>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</si>
  <si>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</si>
  <si>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</si>
  <si>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</si>
  <si>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</si>
  <si>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</si>
  <si>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</si>
  <si>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</si>
  <si>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</si>
  <si>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</si>
  <si>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</si>
  <si>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</si>
  <si>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</si>
  <si>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</si>
  <si>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</si>
  <si>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</si>
  <si>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</si>
  <si>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</si>
  <si>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</si>
  <si>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</si>
  <si>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</si>
  <si>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</si>
  <si>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</si>
  <si>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</si>
  <si>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</si>
  <si>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</si>
  <si>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</si>
  <si>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</si>
  <si>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</si>
  <si>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</si>
  <si>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</si>
  <si>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</si>
  <si>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</si>
  <si>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</si>
  <si>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</si>
  <si>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</si>
  <si>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</si>
  <si>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</si>
  <si>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</si>
  <si>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</si>
  <si>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</si>
  <si>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</si>
  <si>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</si>
  <si>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</si>
  <si>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</si>
  <si>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</si>
  <si>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</si>
  <si>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</si>
  <si>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</si>
  <si>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</si>
  <si>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</si>
  <si>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</si>
  <si>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</si>
  <si>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</si>
  <si>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</si>
  <si>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</si>
  <si>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</si>
  <si>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</si>
  <si>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</si>
  <si>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</si>
  <si>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</si>
  <si>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</si>
  <si>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</si>
  <si>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</si>
  <si>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</si>
  <si>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</si>
  <si>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</si>
  <si>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</si>
  <si>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</si>
  <si>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</si>
  <si>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</si>
  <si>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</si>
  <si>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</si>
  <si>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</si>
  <si>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</si>
  <si>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</si>
  <si>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</si>
  <si>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</si>
  <si>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</si>
  <si>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</si>
  <si>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</si>
  <si>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</si>
  <si>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</si>
  <si>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</si>
  <si>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</si>
  <si>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</si>
  <si>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</si>
  <si>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</si>
  <si>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</si>
  <si>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</si>
  <si>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</si>
  <si>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</si>
  <si>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</si>
  <si>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</si>
  <si>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</si>
  <si>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</si>
  <si>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</si>
  <si>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</si>
  <si>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</si>
  <si>
    <t>College Leaders in Christ (YAHOO)</t>
  </si>
  <si>
    <t>Greater hours per week to reflect current trend (average 17 hours/week)</t>
  </si>
  <si>
    <t>Financial Secretary</t>
  </si>
  <si>
    <t>From Cheryl</t>
  </si>
  <si>
    <t>2012 Budget final</t>
  </si>
  <si>
    <t>2011 Budget (first changes from Dec Council</t>
  </si>
  <si>
    <t>Variance %</t>
  </si>
  <si>
    <t>Variance $</t>
  </si>
  <si>
    <t>NOTES on Variances</t>
  </si>
  <si>
    <t>Plugged difference</t>
  </si>
  <si>
    <t>Reduced per Luanne (1/17/12)</t>
  </si>
  <si>
    <t>From Cheryl (1/18/12)</t>
  </si>
  <si>
    <t>No Increase planned per Luanne (1/17/12)</t>
  </si>
  <si>
    <t>Per Cheryl:  based on no increase in salary (1/17/12)</t>
  </si>
  <si>
    <t>Per Cheryl:  reduced to reflect actual average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</si>
</sst>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9" fontId="9" fillId="0" borderId="0" xfId="2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4" width="10" style="1" bestFit="1" customWidth="1"/>
    <col min="15" max="15" width="11.5703125" style="1" bestFit="1" customWidth="1"/>
    <col min="16" max="16384" width="9.140625" style="1"/>
  </cols>
  <sheetData>
    <row r="1" spans="1:13" ht="41.2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8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 x14ac:dyDescent="0.25">
      <c r="D3" s="69" t="s">
        <v>124</v>
      </c>
      <c r="E3" s="70"/>
      <c r="F3" s="70"/>
      <c r="G3" s="70"/>
      <c r="H3" s="71"/>
      <c r="J3" s="69" t="s">
        <v>125</v>
      </c>
      <c r="K3" s="70"/>
      <c r="L3" s="71"/>
    </row>
    <row r="4" spans="1:13" s="5" customFormat="1" ht="53.25" customHeight="1" x14ac:dyDescent="0.25">
      <c r="D4" s="2" t="s">
        <v>13</v>
      </c>
      <c r="E4" s="3" t="s">
        <v>126</v>
      </c>
      <c r="F4" s="3" t="s">
        <v>127</v>
      </c>
      <c r="G4" s="3" t="s">
        <v>128</v>
      </c>
      <c r="H4" s="4" t="s">
        <v>123</v>
      </c>
      <c r="J4" s="2" t="s">
        <v>120</v>
      </c>
      <c r="K4" s="3" t="s">
        <v>119</v>
      </c>
      <c r="L4" s="4" t="s">
        <v>122</v>
      </c>
      <c r="M4" s="10" t="s">
        <v>136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557337-6703-670-67-7-1-76-8</f>
        <v>549805</v>
      </c>
      <c r="E7" s="6">
        <v>556300</v>
      </c>
      <c r="F7" s="7">
        <f>IF(E7=0,"NA",(+D7-E7)/E7)</f>
        <v>-1.1675355024267482E-2</v>
      </c>
      <c r="G7" s="6">
        <v>542338</v>
      </c>
      <c r="H7" s="7">
        <f t="shared" ref="H7:H13" si="0">IF(G7=0,"NA",(+D7-G7)/G7)</f>
        <v>1.3768166715221873E-2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562505</v>
      </c>
      <c r="E13" s="15">
        <f>SUM(E7:E12)</f>
        <v>569000</v>
      </c>
      <c r="F13" s="16">
        <f t="shared" si="2"/>
        <v>-1.1414762741652021E-2</v>
      </c>
      <c r="G13" s="15">
        <f>SUM(G7:G12)</f>
        <v>557375</v>
      </c>
      <c r="H13" s="16">
        <f t="shared" si="0"/>
        <v>9.2038573671226736E-3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154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572505</v>
      </c>
      <c r="E22" s="15">
        <f>+E13+E21</f>
        <v>579000</v>
      </c>
      <c r="F22" s="16">
        <f t="shared" si="3"/>
        <v>-1.1217616580310881E-2</v>
      </c>
      <c r="G22" s="15">
        <f t="shared" ref="G22" si="8">+G13+G21</f>
        <v>570252</v>
      </c>
      <c r="H22" s="16">
        <f t="shared" si="4"/>
        <v>3.9508848719513479E-3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146</v>
      </c>
      <c r="F25" s="8"/>
    </row>
    <row r="26" spans="1:13" x14ac:dyDescent="0.25">
      <c r="B26" s="1" t="s">
        <v>17</v>
      </c>
      <c r="D26" s="1">
        <f>+D22</f>
        <v>572505</v>
      </c>
      <c r="F26" s="8"/>
    </row>
    <row r="27" spans="1:13" x14ac:dyDescent="0.25">
      <c r="B27" s="1" t="s">
        <v>16</v>
      </c>
      <c r="D27" s="6">
        <v>-54900</v>
      </c>
      <c r="E27" s="6"/>
      <c r="F27" s="8"/>
      <c r="M27" s="9" t="s">
        <v>162</v>
      </c>
    </row>
    <row r="28" spans="1:13" x14ac:dyDescent="0.25">
      <c r="B28" s="1" t="s">
        <v>18</v>
      </c>
      <c r="D28" s="6">
        <v>-5000</v>
      </c>
      <c r="E28" s="6"/>
      <c r="F28" s="8"/>
      <c r="M28" s="46" t="s">
        <v>162</v>
      </c>
    </row>
    <row r="29" spans="1:13" x14ac:dyDescent="0.25">
      <c r="B29" s="1" t="s">
        <v>19</v>
      </c>
      <c r="D29" s="6">
        <v>-1400</v>
      </c>
      <c r="E29" s="6"/>
      <c r="F29" s="8"/>
      <c r="M29" s="46" t="s">
        <v>162</v>
      </c>
    </row>
    <row r="30" spans="1:13" x14ac:dyDescent="0.25">
      <c r="B30" s="1" t="s">
        <v>17</v>
      </c>
      <c r="D30" s="1">
        <f>SUM(D26:D29)</f>
        <v>511205</v>
      </c>
      <c r="F30" s="8"/>
    </row>
    <row r="31" spans="1:13" s="5" customFormat="1" x14ac:dyDescent="0.25">
      <c r="A31" s="18"/>
      <c r="B31" s="19" t="s">
        <v>147</v>
      </c>
      <c r="C31" s="18"/>
      <c r="D31" s="18">
        <f>ROUND(+D30*0.1,0)</f>
        <v>51121</v>
      </c>
      <c r="E31" s="20">
        <v>51750</v>
      </c>
      <c r="F31" s="21">
        <f>IF(E31=0,"NA",(+D31-E31)/E31)</f>
        <v>-1.2154589371980676E-2</v>
      </c>
      <c r="G31" s="20">
        <v>51179</v>
      </c>
      <c r="H31" s="21">
        <f>IF(G31=0,"NA",(+D31-G31)/G31)</f>
        <v>-1.1332773207760995E-3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142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91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121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130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138</v>
      </c>
    </row>
    <row r="48" spans="1:13" x14ac:dyDescent="0.25">
      <c r="B48" s="1" t="s">
        <v>31</v>
      </c>
      <c r="D48" s="6">
        <v>1200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300</v>
      </c>
      <c r="E49" s="6">
        <v>700</v>
      </c>
      <c r="F49" s="7">
        <f t="shared" si="15"/>
        <v>-0.5714285714285714</v>
      </c>
      <c r="G49" s="6">
        <v>1051</v>
      </c>
      <c r="H49" s="7">
        <f>IF(G49=0,"NA",(+D49-G49)/G49)</f>
        <v>-0.71455756422454808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140</v>
      </c>
    </row>
    <row r="50" spans="1:13" s="5" customFormat="1" x14ac:dyDescent="0.25">
      <c r="A50" s="27" t="s">
        <v>28</v>
      </c>
      <c r="B50" s="27"/>
      <c r="C50" s="27"/>
      <c r="D50" s="27">
        <f>SUM(D46:D49)</f>
        <v>8100</v>
      </c>
      <c r="E50" s="27">
        <f>SUM(E46:E49)</f>
        <v>6700</v>
      </c>
      <c r="F50" s="28">
        <f t="shared" si="15"/>
        <v>0.20895522388059701</v>
      </c>
      <c r="G50" s="27">
        <f>SUM(G46:G49)</f>
        <v>8126</v>
      </c>
      <c r="H50" s="28">
        <f>IF(G50=0,"NA",(+D50-G50)/G50)</f>
        <v>-3.1996062023135615E-3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155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159</v>
      </c>
      <c r="D55" s="6">
        <v>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137</v>
      </c>
    </row>
    <row r="56" spans="1:13" s="5" customFormat="1" x14ac:dyDescent="0.25">
      <c r="A56" s="27" t="s">
        <v>35</v>
      </c>
      <c r="B56" s="27"/>
      <c r="C56" s="27"/>
      <c r="D56" s="27">
        <f>SUM(D53:D55)</f>
        <v>7000</v>
      </c>
      <c r="E56" s="27">
        <f>SUM(E53:E55)</f>
        <v>6000</v>
      </c>
      <c r="F56" s="28">
        <f t="shared" si="16"/>
        <v>0.16666666666666666</v>
      </c>
      <c r="G56" s="27">
        <f>SUM(G53:G55)</f>
        <v>5311</v>
      </c>
      <c r="H56" s="28">
        <f>IF(G56=0,"NA",(+D56-G56)/G56)</f>
        <v>0.31801920542270756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153</v>
      </c>
      <c r="F58" s="8"/>
    </row>
    <row r="59" spans="1:13" x14ac:dyDescent="0.25">
      <c r="B59" s="1" t="s">
        <v>156</v>
      </c>
      <c r="D59" s="6">
        <v>300</v>
      </c>
      <c r="E59" s="6">
        <v>250</v>
      </c>
      <c r="F59" s="7">
        <f t="shared" ref="F59:F61" si="17">IF(E59=0,"NA",(+D59-E59)/E59)</f>
        <v>0.2</v>
      </c>
      <c r="G59" s="6">
        <v>-366</v>
      </c>
      <c r="H59" s="7">
        <f>IF(G59=0,"NA",(+D59-G59)/G59)</f>
        <v>-1.819672131147541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134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139</v>
      </c>
    </row>
    <row r="61" spans="1:13" s="5" customFormat="1" x14ac:dyDescent="0.25">
      <c r="A61" s="27" t="s">
        <v>133</v>
      </c>
      <c r="B61" s="27"/>
      <c r="C61" s="27"/>
      <c r="D61" s="27">
        <f>SUM(D59:D60)</f>
        <v>800</v>
      </c>
      <c r="E61" s="27">
        <f>SUM(E59:E60)</f>
        <v>250</v>
      </c>
      <c r="F61" s="28">
        <f t="shared" si="17"/>
        <v>2.2000000000000002</v>
      </c>
      <c r="G61" s="27">
        <f>SUM(G59:G60)</f>
        <v>-366</v>
      </c>
      <c r="H61" s="28">
        <f>IF(G61=0,"NA",(+D61-G61)/G61)</f>
        <v>-3.1857923497267762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36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37</v>
      </c>
      <c r="F65" s="8"/>
    </row>
    <row r="66" spans="1:13" x14ac:dyDescent="0.25">
      <c r="B66" s="1" t="s">
        <v>38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39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40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41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42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43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44</v>
      </c>
      <c r="F73" s="8"/>
    </row>
    <row r="74" spans="1:13" x14ac:dyDescent="0.25">
      <c r="B74" s="1" t="s">
        <v>45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46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157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47</v>
      </c>
      <c r="D77" s="6">
        <v>253</v>
      </c>
      <c r="E77" s="6">
        <v>2000</v>
      </c>
      <c r="F77" s="7">
        <f t="shared" si="21"/>
        <v>-0.87350000000000005</v>
      </c>
      <c r="G77" s="6">
        <v>1709</v>
      </c>
      <c r="H77" s="7">
        <f t="shared" si="22"/>
        <v>-0.85196021064950267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48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49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50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53</v>
      </c>
      <c r="B81" s="27"/>
      <c r="C81" s="27"/>
      <c r="D81" s="27">
        <f>SUM(D74:D80)</f>
        <v>32253</v>
      </c>
      <c r="E81" s="27">
        <f>SUM(E74:E80)</f>
        <v>38000</v>
      </c>
      <c r="F81" s="28">
        <f t="shared" si="21"/>
        <v>-0.15123684210526317</v>
      </c>
      <c r="G81" s="27">
        <f>SUM(G74:G80)</f>
        <v>37269</v>
      </c>
      <c r="H81" s="28">
        <f t="shared" si="22"/>
        <v>-0.13458906866296386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132</v>
      </c>
      <c r="B82" s="32"/>
      <c r="C82" s="32"/>
      <c r="D82" s="27">
        <f>+D41+D43+D50+D56+D63+D71+D81+D61</f>
        <v>60553</v>
      </c>
      <c r="E82" s="27">
        <f>+E41+E43+E50+E56+E63+E71+E81+E61</f>
        <v>66900</v>
      </c>
      <c r="F82" s="28">
        <f t="shared" si="21"/>
        <v>-9.4872944693572492E-2</v>
      </c>
      <c r="G82" s="27">
        <f>+G41+G43+G50+G56+G63+G71+G81+G61</f>
        <v>64017</v>
      </c>
      <c r="H82" s="28">
        <f t="shared" si="22"/>
        <v>-5.4110626864739053E-2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51</v>
      </c>
      <c r="F84" s="8"/>
    </row>
    <row r="85" spans="1:13" x14ac:dyDescent="0.25">
      <c r="A85" s="5" t="s">
        <v>52</v>
      </c>
      <c r="D85" s="45"/>
      <c r="F85" s="8"/>
    </row>
    <row r="86" spans="1:13" x14ac:dyDescent="0.25">
      <c r="B86" s="1" t="s">
        <v>54</v>
      </c>
      <c r="D86" s="43">
        <f>ROUND(+E86*(1+LEFT(C$133,1)/100),0)</f>
        <v>89731</v>
      </c>
      <c r="E86" s="6">
        <v>89731</v>
      </c>
      <c r="F86" s="7">
        <f t="shared" ref="F86:F91" si="24">IF(E86=0,"NA",(+D86-E86)/E86)</f>
        <v>0</v>
      </c>
      <c r="G86" s="6">
        <v>87117</v>
      </c>
      <c r="H86" s="7">
        <f t="shared" ref="H86:H91" si="25">IF(G86=0,"NA",(+D86-G86)/G86)</f>
        <v>3.0005624619764224E-2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ht="30" x14ac:dyDescent="0.25">
      <c r="B87" s="1" t="s">
        <v>55</v>
      </c>
      <c r="D87" s="6">
        <v>5500</v>
      </c>
      <c r="E87" s="6">
        <v>5500</v>
      </c>
      <c r="F87" s="7">
        <f t="shared" si="24"/>
        <v>0</v>
      </c>
      <c r="G87" s="6">
        <v>5500</v>
      </c>
      <c r="H87" s="7">
        <f t="shared" si="25"/>
        <v>0</v>
      </c>
      <c r="J87" s="6">
        <v>5041.63</v>
      </c>
      <c r="K87" s="6">
        <v>5041.63</v>
      </c>
      <c r="L87" s="7">
        <f t="shared" si="26"/>
        <v>0</v>
      </c>
      <c r="M87" s="9" t="s">
        <v>158</v>
      </c>
    </row>
    <row r="88" spans="1:13" ht="30" x14ac:dyDescent="0.25">
      <c r="B88" s="1" t="s">
        <v>56</v>
      </c>
      <c r="D88" s="6">
        <v>34149</v>
      </c>
      <c r="E88" s="6">
        <v>34603</v>
      </c>
      <c r="F88" s="7">
        <f t="shared" si="24"/>
        <v>-1.3120249689333294E-2</v>
      </c>
      <c r="G88" s="6">
        <v>33221</v>
      </c>
      <c r="H88" s="7">
        <f t="shared" si="25"/>
        <v>2.7934138045212366E-2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148</v>
      </c>
    </row>
    <row r="89" spans="1:13" x14ac:dyDescent="0.25">
      <c r="B89" s="1" t="s">
        <v>57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58</v>
      </c>
      <c r="D90" s="6">
        <v>3000</v>
      </c>
      <c r="E90" s="6">
        <v>3000</v>
      </c>
      <c r="F90" s="7">
        <f t="shared" si="24"/>
        <v>0</v>
      </c>
      <c r="G90" s="6">
        <v>1180</v>
      </c>
      <c r="H90" s="7">
        <f t="shared" si="25"/>
        <v>1.5423728813559323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59</v>
      </c>
      <c r="B91" s="33"/>
      <c r="C91" s="33"/>
      <c r="D91" s="33">
        <f>SUM(D86:D90)</f>
        <v>136380</v>
      </c>
      <c r="E91" s="33">
        <f>SUM(E86:E90)</f>
        <v>136834</v>
      </c>
      <c r="F91" s="34">
        <f t="shared" si="24"/>
        <v>-3.3178888287998596E-3</v>
      </c>
      <c r="G91" s="33">
        <f>SUM(G86:G90)</f>
        <v>132307</v>
      </c>
      <c r="H91" s="34">
        <f t="shared" si="25"/>
        <v>3.0784463407075968E-2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60</v>
      </c>
      <c r="F93" s="8"/>
    </row>
    <row r="94" spans="1:13" x14ac:dyDescent="0.25">
      <c r="B94" s="1" t="s">
        <v>61</v>
      </c>
      <c r="D94" s="43">
        <f>ROUND(+E94*(1+LEFT(C$133,1)/100),0)</f>
        <v>11307</v>
      </c>
      <c r="E94" s="6">
        <v>11307</v>
      </c>
      <c r="F94" s="7">
        <f t="shared" ref="F94:F96" si="27">IF(E94=0,"NA",(+D94-E94)/E94)</f>
        <v>0</v>
      </c>
      <c r="G94" s="6">
        <v>10978</v>
      </c>
      <c r="H94" s="7">
        <f>IF(G94=0,"NA",(+D94-G94)/G94)</f>
        <v>2.9969028967024958E-2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62</v>
      </c>
      <c r="D95" s="6">
        <v>5000</v>
      </c>
      <c r="E95" s="6">
        <v>5000</v>
      </c>
      <c r="F95" s="7">
        <f t="shared" si="27"/>
        <v>0</v>
      </c>
      <c r="G95" s="6">
        <v>5000</v>
      </c>
      <c r="H95" s="7">
        <f>IF(G95=0,"NA",(+D95-G95)/G95)</f>
        <v>0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63</v>
      </c>
      <c r="B96" s="33"/>
      <c r="C96" s="33"/>
      <c r="D96" s="33">
        <f>SUM(D94:D95)</f>
        <v>16307</v>
      </c>
      <c r="E96" s="33">
        <f>SUM(E94:E95)</f>
        <v>16307</v>
      </c>
      <c r="F96" s="34">
        <f t="shared" si="27"/>
        <v>0</v>
      </c>
      <c r="G96" s="33">
        <f>SUM(G94:G95)</f>
        <v>15978</v>
      </c>
      <c r="H96" s="34">
        <f>IF(G96=0,"NA",(+D96-G96)/G96)</f>
        <v>2.0590812367004632E-2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64</v>
      </c>
      <c r="F98" s="8"/>
    </row>
    <row r="99" spans="1:13" x14ac:dyDescent="0.25">
      <c r="B99" s="1" t="s">
        <v>61</v>
      </c>
      <c r="D99" s="43">
        <f>ROUND(+E99*(1+LEFT(C$133,1)/100),0)</f>
        <v>13527</v>
      </c>
      <c r="E99" s="6">
        <v>13527</v>
      </c>
      <c r="F99" s="7">
        <f t="shared" ref="F99:F101" si="28">IF(E99=0,"NA",(+D99-E99)/E99)</f>
        <v>0</v>
      </c>
      <c r="G99" s="6">
        <v>13133</v>
      </c>
      <c r="H99" s="7">
        <f>IF(G99=0,"NA",(+D99-G99)/G99)</f>
        <v>3.0000761440645701E-2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65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66</v>
      </c>
      <c r="B101" s="33"/>
      <c r="C101" s="33"/>
      <c r="D101" s="33">
        <f>SUM(D99:D100)</f>
        <v>14277</v>
      </c>
      <c r="E101" s="33">
        <f>SUM(E99:E100)</f>
        <v>14527</v>
      </c>
      <c r="F101" s="34">
        <f t="shared" si="28"/>
        <v>-1.7209334342947614E-2</v>
      </c>
      <c r="G101" s="33">
        <f>SUM(G99:G100)</f>
        <v>13872</v>
      </c>
      <c r="H101" s="34">
        <f>IF(G101=0,"NA",(+D101-G101)/G101)</f>
        <v>2.9195501730103806E-2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67</v>
      </c>
      <c r="F103" s="8"/>
    </row>
    <row r="104" spans="1:13" x14ac:dyDescent="0.25">
      <c r="B104" s="1" t="s">
        <v>61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141</v>
      </c>
    </row>
    <row r="105" spans="1:13" ht="30" x14ac:dyDescent="0.25">
      <c r="B105" s="1" t="s">
        <v>56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148</v>
      </c>
    </row>
    <row r="106" spans="1:13" x14ac:dyDescent="0.25">
      <c r="B106" s="1" t="s">
        <v>58</v>
      </c>
      <c r="D106" s="6">
        <v>750</v>
      </c>
      <c r="E106" s="6">
        <v>750</v>
      </c>
      <c r="F106" s="7">
        <f t="shared" si="29"/>
        <v>0</v>
      </c>
      <c r="G106" s="6">
        <v>106</v>
      </c>
      <c r="H106" s="7">
        <f t="shared" si="30"/>
        <v>6.0754716981132075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57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62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68</v>
      </c>
      <c r="D109" s="6">
        <v>1116</v>
      </c>
      <c r="E109" s="6">
        <v>1000</v>
      </c>
      <c r="F109" s="7">
        <f t="shared" si="29"/>
        <v>0.11600000000000001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69</v>
      </c>
      <c r="B110" s="33"/>
      <c r="C110" s="33"/>
      <c r="D110" s="33">
        <f>SUM(D104:D109)</f>
        <v>45319</v>
      </c>
      <c r="E110" s="33">
        <f>SUM(E104:E109)</f>
        <v>43353</v>
      </c>
      <c r="F110" s="34">
        <f t="shared" si="29"/>
        <v>4.5348649459091644E-2</v>
      </c>
      <c r="G110" s="33">
        <f>SUM(G104:G109)</f>
        <v>40659</v>
      </c>
      <c r="H110" s="34">
        <f t="shared" si="30"/>
        <v>0.11461177107159547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70</v>
      </c>
      <c r="F112" s="8"/>
    </row>
    <row r="113" spans="1:15" x14ac:dyDescent="0.25">
      <c r="B113" s="1" t="s">
        <v>71</v>
      </c>
      <c r="D113" s="43">
        <f>ROUND(+E113*(1+LEFT(C$133,1)/100),0)</f>
        <v>9580</v>
      </c>
      <c r="E113" s="6">
        <v>9580</v>
      </c>
      <c r="F113" s="7">
        <f t="shared" ref="F113:F119" si="32">IF(E113=0,"NA",(+D113-E113)/E113)</f>
        <v>0</v>
      </c>
      <c r="G113" s="6">
        <v>9580</v>
      </c>
      <c r="H113" s="7">
        <f t="shared" ref="H113:H119" si="33">IF(G113=0,"NA",(+D113-G113)/G113)</f>
        <v>0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72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73</v>
      </c>
      <c r="D115" s="43">
        <f t="shared" ref="D115:D117" si="35">ROUND(+E115*(1+LEFT(C$133,1)/100),0)</f>
        <v>17796</v>
      </c>
      <c r="E115" s="6">
        <v>17796</v>
      </c>
      <c r="F115" s="7">
        <f t="shared" si="32"/>
        <v>0</v>
      </c>
      <c r="G115" s="6">
        <v>17492</v>
      </c>
      <c r="H115" s="7">
        <f t="shared" si="33"/>
        <v>1.7379373427852732E-2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74</v>
      </c>
      <c r="D116" s="43">
        <f t="shared" si="35"/>
        <v>6581</v>
      </c>
      <c r="E116" s="6">
        <v>6581</v>
      </c>
      <c r="F116" s="7">
        <f t="shared" si="32"/>
        <v>0</v>
      </c>
      <c r="G116" s="6">
        <v>6389</v>
      </c>
      <c r="H116" s="7">
        <f t="shared" si="33"/>
        <v>3.005165127562999E-2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75</v>
      </c>
      <c r="D117" s="43">
        <f t="shared" si="35"/>
        <v>1698</v>
      </c>
      <c r="E117" s="6">
        <v>1698</v>
      </c>
      <c r="F117" s="7">
        <f t="shared" si="32"/>
        <v>0</v>
      </c>
      <c r="G117" s="6">
        <v>1697</v>
      </c>
      <c r="H117" s="7">
        <f t="shared" si="33"/>
        <v>5.8927519151443723E-4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76</v>
      </c>
      <c r="D118" s="6">
        <v>2400</v>
      </c>
      <c r="E118" s="6">
        <v>2500</v>
      </c>
      <c r="F118" s="7">
        <f t="shared" si="32"/>
        <v>-0.04</v>
      </c>
      <c r="G118" s="6">
        <v>2400</v>
      </c>
      <c r="H118" s="7">
        <f t="shared" si="33"/>
        <v>0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77</v>
      </c>
      <c r="B119" s="33"/>
      <c r="C119" s="33"/>
      <c r="D119" s="33">
        <f>SUM(D113:D118)</f>
        <v>38555</v>
      </c>
      <c r="E119" s="33">
        <f>SUM(E113:E118)</f>
        <v>39055</v>
      </c>
      <c r="F119" s="34">
        <f t="shared" si="32"/>
        <v>-1.2802458071949815E-2</v>
      </c>
      <c r="G119" s="33">
        <f>SUM(G113:G118)</f>
        <v>37958</v>
      </c>
      <c r="H119" s="34">
        <f t="shared" si="33"/>
        <v>1.5727909795036618E-2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78</v>
      </c>
      <c r="F121" s="8"/>
    </row>
    <row r="122" spans="1:15" ht="45" x14ac:dyDescent="0.25">
      <c r="B122" s="1" t="s">
        <v>161</v>
      </c>
      <c r="D122" s="6">
        <v>12075</v>
      </c>
      <c r="E122" s="6">
        <v>10655</v>
      </c>
      <c r="F122" s="7">
        <f t="shared" ref="F122:F133" si="36">IF(E122=0,"NA",(+D122-E122)/E122)</f>
        <v>0.13327076489910841</v>
      </c>
      <c r="G122" s="6">
        <v>11830</v>
      </c>
      <c r="H122" s="7">
        <f t="shared" ref="H122:H133" si="37">IF(G122=0,"NA",(+D122-G122)/G122)</f>
        <v>2.0710059171597635E-2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160</v>
      </c>
      <c r="O122" s="35"/>
    </row>
    <row r="123" spans="1:15" ht="39.75" customHeight="1" x14ac:dyDescent="0.25">
      <c r="B123" s="1" t="s">
        <v>80</v>
      </c>
      <c r="D123" s="43">
        <f>ROUND(+E123/2*(LEFT(C$133,1)/100),0)+E123</f>
        <v>31118</v>
      </c>
      <c r="E123" s="6">
        <v>31118</v>
      </c>
      <c r="F123" s="7">
        <f t="shared" si="36"/>
        <v>0</v>
      </c>
      <c r="G123" s="6">
        <v>31785</v>
      </c>
      <c r="H123" s="7">
        <f t="shared" si="37"/>
        <v>-2.0984741230140002E-2</v>
      </c>
      <c r="J123" s="6">
        <v>31769.16</v>
      </c>
      <c r="K123" s="6">
        <v>28524.87</v>
      </c>
      <c r="L123" s="7">
        <f t="shared" si="38"/>
        <v>0.11373548766392277</v>
      </c>
      <c r="O123" s="35"/>
    </row>
    <row r="124" spans="1:15" x14ac:dyDescent="0.25">
      <c r="B124" s="1" t="s">
        <v>81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  <c r="O124" s="35"/>
    </row>
    <row r="125" spans="1:15" x14ac:dyDescent="0.25">
      <c r="B125" s="1" t="s">
        <v>82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  <c r="O125" s="35"/>
    </row>
    <row r="126" spans="1:15" ht="30" x14ac:dyDescent="0.25">
      <c r="B126" s="1" t="s">
        <v>83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150</v>
      </c>
      <c r="N126" s="6"/>
      <c r="O126" s="35"/>
    </row>
    <row r="127" spans="1:15" x14ac:dyDescent="0.25">
      <c r="B127" s="1" t="s">
        <v>131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149</v>
      </c>
      <c r="O127" s="35"/>
    </row>
    <row r="128" spans="1:15" x14ac:dyDescent="0.25">
      <c r="B128" s="1" t="s">
        <v>84</v>
      </c>
      <c r="D128" s="6">
        <v>9800</v>
      </c>
      <c r="E128" s="6">
        <v>10025</v>
      </c>
      <c r="F128" s="7">
        <f t="shared" si="36"/>
        <v>-2.2443890274314215E-2</v>
      </c>
      <c r="G128" s="6">
        <v>9696</v>
      </c>
      <c r="H128" s="7">
        <f t="shared" si="37"/>
        <v>1.0726072607260726E-2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152</v>
      </c>
      <c r="O128" s="35"/>
    </row>
    <row r="129" spans="1:13" x14ac:dyDescent="0.25">
      <c r="B129" s="1" t="s">
        <v>85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152</v>
      </c>
    </row>
    <row r="130" spans="1:13" x14ac:dyDescent="0.25">
      <c r="B130" s="1" t="s">
        <v>86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87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151</v>
      </c>
    </row>
    <row r="132" spans="1:13" s="5" customFormat="1" x14ac:dyDescent="0.25">
      <c r="A132" s="33" t="s">
        <v>79</v>
      </c>
      <c r="B132" s="33"/>
      <c r="C132" s="33"/>
      <c r="D132" s="33">
        <f>SUM(D122:D131)</f>
        <v>71343</v>
      </c>
      <c r="E132" s="33">
        <f>SUM(E122:E131)</f>
        <v>73080</v>
      </c>
      <c r="F132" s="34">
        <f t="shared" si="36"/>
        <v>-2.376847290640394E-2</v>
      </c>
      <c r="G132" s="33">
        <f>SUM(G122:G131)</f>
        <v>74281</v>
      </c>
      <c r="H132" s="34">
        <f t="shared" si="37"/>
        <v>-3.9552510063138625E-2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88</v>
      </c>
      <c r="B133" s="33"/>
      <c r="C133" s="44" t="str">
        <f>0*100%&amp;"% Cost of Living"</f>
        <v>0% Cost of Living</v>
      </c>
      <c r="D133" s="33">
        <f>+D91+D96+D101+D110+D119+D132</f>
        <v>322181</v>
      </c>
      <c r="E133" s="33">
        <f>+E91+E96+E101+E110+E119+E132</f>
        <v>323156</v>
      </c>
      <c r="F133" s="34">
        <f t="shared" si="36"/>
        <v>-3.0171186671452796E-3</v>
      </c>
      <c r="G133" s="33">
        <f t="shared" ref="G133" si="39">+G91+G96+G101+G110+G119+G132</f>
        <v>315055</v>
      </c>
      <c r="H133" s="34">
        <f t="shared" si="37"/>
        <v>2.261827299995239E-2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89</v>
      </c>
      <c r="F135" s="8"/>
    </row>
    <row r="136" spans="1:13" x14ac:dyDescent="0.25">
      <c r="A136" s="5" t="s">
        <v>90</v>
      </c>
      <c r="F136" s="8"/>
    </row>
    <row r="137" spans="1:13" x14ac:dyDescent="0.25">
      <c r="B137" s="1" t="s">
        <v>92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144</v>
      </c>
    </row>
    <row r="138" spans="1:13" x14ac:dyDescent="0.25">
      <c r="B138" s="1" t="s">
        <v>93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94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95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143</v>
      </c>
    </row>
    <row r="141" spans="1:13" x14ac:dyDescent="0.25">
      <c r="B141" s="1" t="s">
        <v>96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97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98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99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100</v>
      </c>
      <c r="F146" s="8"/>
    </row>
    <row r="147" spans="1:13" x14ac:dyDescent="0.25">
      <c r="B147" s="1" t="s">
        <v>101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102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103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68" t="s">
        <v>135</v>
      </c>
      <c r="C150" s="6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104</v>
      </c>
      <c r="D151" s="6">
        <v>7000</v>
      </c>
      <c r="E151" s="6">
        <v>6000</v>
      </c>
      <c r="F151" s="7">
        <f t="shared" si="44"/>
        <v>0.16666666666666666</v>
      </c>
      <c r="G151" s="6">
        <v>5158</v>
      </c>
      <c r="H151" s="7">
        <f t="shared" si="45"/>
        <v>0.35711516091508338</v>
      </c>
      <c r="J151" s="6">
        <v>7947.63</v>
      </c>
      <c r="K151" s="6">
        <v>5500</v>
      </c>
      <c r="L151" s="7">
        <f t="shared" si="46"/>
        <v>0.4450236363636364</v>
      </c>
      <c r="M151" s="9" t="s">
        <v>145</v>
      </c>
    </row>
    <row r="152" spans="1:13" x14ac:dyDescent="0.25">
      <c r="B152" s="1" t="s">
        <v>105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107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106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108</v>
      </c>
      <c r="B155" s="36"/>
      <c r="C155" s="36"/>
      <c r="D155" s="36">
        <f>SUM(D147:D154)</f>
        <v>85500</v>
      </c>
      <c r="E155" s="36">
        <f>SUM(E147:E154)</f>
        <v>84500</v>
      </c>
      <c r="F155" s="37">
        <f t="shared" si="44"/>
        <v>1.1834319526627219E-2</v>
      </c>
      <c r="G155" s="36">
        <f>SUM(G147:G154)</f>
        <v>83518</v>
      </c>
      <c r="H155" s="37">
        <f t="shared" si="45"/>
        <v>2.3731411192796762E-2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109</v>
      </c>
      <c r="B156" s="36"/>
      <c r="C156" s="36"/>
      <c r="D156" s="36">
        <f>+D144+D155</f>
        <v>128650</v>
      </c>
      <c r="E156" s="36">
        <f>+E144+E155</f>
        <v>126500</v>
      </c>
      <c r="F156" s="37">
        <f t="shared" si="44"/>
        <v>1.6996047430830039E-2</v>
      </c>
      <c r="G156" s="36">
        <f t="shared" ref="G156" si="47">+G144+G155</f>
        <v>122952</v>
      </c>
      <c r="H156" s="37">
        <f t="shared" si="45"/>
        <v>4.6343288437764328E-2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110</v>
      </c>
      <c r="F158" s="8"/>
    </row>
    <row r="159" spans="1:13" x14ac:dyDescent="0.25">
      <c r="A159" s="5" t="s">
        <v>111</v>
      </c>
      <c r="F159" s="8"/>
    </row>
    <row r="160" spans="1:13" x14ac:dyDescent="0.25">
      <c r="B160" s="1" t="s">
        <v>112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113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114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115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116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117</v>
      </c>
      <c r="B166" s="41"/>
      <c r="C166" s="41"/>
      <c r="D166" s="40">
        <f>+D82+D133+D156+D164+D31</f>
        <v>572505</v>
      </c>
      <c r="E166" s="40">
        <f>+E82+E133+E156+E164+E31</f>
        <v>578306</v>
      </c>
      <c r="F166" s="42">
        <f t="shared" ref="F166:F167" si="50">IF(E166=0,"NA",(+D166-E166)/E166)</f>
        <v>-1.0031021639063057E-2</v>
      </c>
      <c r="G166" s="40">
        <f>+G82+G133+G156+G164+G31</f>
        <v>564589</v>
      </c>
      <c r="H166" s="42">
        <f>IF(G166=0,"NA",(+D166-G166)/G166)</f>
        <v>1.4020818684033872E-2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118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showGridLines="0" workbookViewId="0">
      <selection sqref="A1:H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4" width="12.140625" style="1" customWidth="1"/>
    <col min="5" max="5" width="13.140625" style="49" customWidth="1"/>
    <col min="6" max="6" width="13.140625" style="66" customWidth="1"/>
    <col min="7" max="7" width="12.140625" style="1" customWidth="1"/>
    <col min="8" max="8" width="33.85546875" style="46" customWidth="1"/>
    <col min="9" max="9" width="10" style="1" bestFit="1" customWidth="1"/>
    <col min="10" max="10" width="11.5703125" style="1" bestFit="1" customWidth="1"/>
    <col min="11" max="16384" width="9.140625" style="1"/>
  </cols>
  <sheetData>
    <row r="1" spans="1:8" ht="41.2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</row>
    <row r="2" spans="1:8" ht="8.25" customHeight="1" x14ac:dyDescent="0.25">
      <c r="A2" s="73"/>
      <c r="B2" s="73"/>
      <c r="C2" s="73"/>
      <c r="D2" s="73"/>
      <c r="E2" s="73"/>
      <c r="F2" s="73"/>
      <c r="G2" s="73"/>
      <c r="H2" s="73"/>
    </row>
    <row r="3" spans="1:8" ht="23.25" customHeight="1" x14ac:dyDescent="0.25">
      <c r="D3" s="74" t="s">
        <v>124</v>
      </c>
      <c r="E3" s="75"/>
      <c r="F3" s="75"/>
      <c r="G3" s="76"/>
    </row>
    <row r="4" spans="1:8" s="5" customFormat="1" ht="59.25" customHeight="1" x14ac:dyDescent="0.25">
      <c r="D4" s="2" t="s">
        <v>163</v>
      </c>
      <c r="E4" s="48" t="s">
        <v>164</v>
      </c>
      <c r="F4" s="65" t="s">
        <v>166</v>
      </c>
      <c r="G4" s="65" t="s">
        <v>165</v>
      </c>
      <c r="H4" s="10" t="s">
        <v>167</v>
      </c>
    </row>
    <row r="5" spans="1:8" s="5" customFormat="1" ht="18.75" x14ac:dyDescent="0.25">
      <c r="A5" s="11" t="s">
        <v>0</v>
      </c>
      <c r="D5" s="12"/>
      <c r="E5" s="50"/>
      <c r="F5" s="67"/>
      <c r="G5" s="13"/>
      <c r="H5" s="14"/>
    </row>
    <row r="6" spans="1:8" x14ac:dyDescent="0.25">
      <c r="A6" s="5" t="s">
        <v>1</v>
      </c>
    </row>
    <row r="7" spans="1:8" x14ac:dyDescent="0.25">
      <c r="B7" s="1" t="s">
        <v>1</v>
      </c>
      <c r="D7" s="52">
        <f>+Final!D7</f>
        <v>549805</v>
      </c>
      <c r="E7" s="47">
        <v>557336.6</v>
      </c>
      <c r="F7" s="64">
        <f>+D7-E7</f>
        <v>-7531.5999999999767</v>
      </c>
      <c r="G7" s="7">
        <f>IF(E7=0,"NA",(+D7-E7)/E7)</f>
        <v>-1.3513557157380257E-2</v>
      </c>
      <c r="H7" s="46" t="s">
        <v>168</v>
      </c>
    </row>
    <row r="8" spans="1:8" x14ac:dyDescent="0.25">
      <c r="B8" s="1" t="s">
        <v>2</v>
      </c>
      <c r="D8" s="52">
        <f>+Final!D8</f>
        <v>0</v>
      </c>
      <c r="E8" s="47">
        <v>0</v>
      </c>
      <c r="F8" s="64">
        <f t="shared" ref="F8:F12" si="0">+D8-E8</f>
        <v>0</v>
      </c>
      <c r="G8" s="7" t="str">
        <f t="shared" ref="G8:G13" si="1">IF(E8=0,"NA",(+D8-E8)/E8)</f>
        <v>NA</v>
      </c>
    </row>
    <row r="9" spans="1:8" x14ac:dyDescent="0.25">
      <c r="B9" s="1" t="s">
        <v>3</v>
      </c>
      <c r="D9" s="52">
        <f>+Final!D9</f>
        <v>4000</v>
      </c>
      <c r="E9" s="47">
        <v>4000</v>
      </c>
      <c r="F9" s="64">
        <f t="shared" si="0"/>
        <v>0</v>
      </c>
      <c r="G9" s="7">
        <f t="shared" si="1"/>
        <v>0</v>
      </c>
    </row>
    <row r="10" spans="1:8" x14ac:dyDescent="0.25">
      <c r="B10" s="1" t="s">
        <v>4</v>
      </c>
      <c r="D10" s="52">
        <f>+Final!D10</f>
        <v>1000</v>
      </c>
      <c r="E10" s="47">
        <v>1000</v>
      </c>
      <c r="F10" s="64">
        <f t="shared" si="0"/>
        <v>0</v>
      </c>
      <c r="G10" s="7">
        <f t="shared" si="1"/>
        <v>0</v>
      </c>
    </row>
    <row r="11" spans="1:8" x14ac:dyDescent="0.25">
      <c r="B11" s="1" t="s">
        <v>5</v>
      </c>
      <c r="D11" s="52">
        <f>+Final!D11</f>
        <v>5000</v>
      </c>
      <c r="E11" s="47">
        <v>5000</v>
      </c>
      <c r="F11" s="64">
        <f t="shared" si="0"/>
        <v>0</v>
      </c>
      <c r="G11" s="7">
        <f t="shared" si="1"/>
        <v>0</v>
      </c>
    </row>
    <row r="12" spans="1:8" x14ac:dyDescent="0.25">
      <c r="B12" s="1" t="s">
        <v>6</v>
      </c>
      <c r="D12" s="52">
        <f>+Final!D12</f>
        <v>2700</v>
      </c>
      <c r="E12" s="47">
        <v>2700</v>
      </c>
      <c r="F12" s="64">
        <f t="shared" si="0"/>
        <v>0</v>
      </c>
      <c r="G12" s="7">
        <f t="shared" si="1"/>
        <v>0</v>
      </c>
    </row>
    <row r="13" spans="1:8" x14ac:dyDescent="0.25">
      <c r="A13" s="15" t="s">
        <v>7</v>
      </c>
      <c r="B13" s="15"/>
      <c r="C13" s="15"/>
      <c r="D13" s="15">
        <f>SUM(D7:D12)</f>
        <v>562505</v>
      </c>
      <c r="E13" s="53">
        <f>SUM(E7:E12)</f>
        <v>570036.6</v>
      </c>
      <c r="F13" s="53">
        <f>SUM(F7:F12)</f>
        <v>-7531.5999999999767</v>
      </c>
      <c r="G13" s="16">
        <f t="shared" si="1"/>
        <v>-1.321248495272054E-2</v>
      </c>
    </row>
    <row r="14" spans="1:8" ht="5.25" customHeight="1" x14ac:dyDescent="0.25">
      <c r="G14" s="8"/>
    </row>
    <row r="15" spans="1:8" x14ac:dyDescent="0.25">
      <c r="A15" s="5" t="s">
        <v>8</v>
      </c>
      <c r="G15" s="8"/>
    </row>
    <row r="16" spans="1:8" x14ac:dyDescent="0.25">
      <c r="B16" s="1" t="s">
        <v>9</v>
      </c>
      <c r="D16" s="52">
        <f>+Final!D16</f>
        <v>10000</v>
      </c>
      <c r="E16" s="47">
        <v>10000</v>
      </c>
      <c r="F16" s="64">
        <f t="shared" ref="F16:F20" si="2">+D16-E16</f>
        <v>0</v>
      </c>
      <c r="G16" s="7">
        <f t="shared" ref="G16:G22" si="3">IF(E16=0,"NA",(+D16-E16)/E16)</f>
        <v>0</v>
      </c>
      <c r="H16" s="17"/>
    </row>
    <row r="17" spans="1:8" x14ac:dyDescent="0.25">
      <c r="B17" s="1" t="s">
        <v>8</v>
      </c>
      <c r="D17" s="52">
        <f>+Final!D17</f>
        <v>0</v>
      </c>
      <c r="E17" s="47">
        <v>0</v>
      </c>
      <c r="F17" s="64">
        <f t="shared" si="2"/>
        <v>0</v>
      </c>
      <c r="G17" s="7" t="str">
        <f t="shared" si="3"/>
        <v>NA</v>
      </c>
    </row>
    <row r="18" spans="1:8" x14ac:dyDescent="0.25">
      <c r="B18" s="1" t="s">
        <v>10</v>
      </c>
      <c r="D18" s="52">
        <f>+Final!D18</f>
        <v>0</v>
      </c>
      <c r="E18" s="47">
        <v>0</v>
      </c>
      <c r="F18" s="64">
        <f t="shared" si="2"/>
        <v>0</v>
      </c>
      <c r="G18" s="7" t="str">
        <f t="shared" si="3"/>
        <v>NA</v>
      </c>
    </row>
    <row r="19" spans="1:8" x14ac:dyDescent="0.25">
      <c r="B19" s="1" t="s">
        <v>12</v>
      </c>
      <c r="D19" s="52">
        <f>+Final!D19</f>
        <v>0</v>
      </c>
      <c r="E19" s="47"/>
      <c r="F19" s="64">
        <f t="shared" si="2"/>
        <v>0</v>
      </c>
      <c r="G19" s="7" t="str">
        <f t="shared" si="3"/>
        <v>NA</v>
      </c>
    </row>
    <row r="20" spans="1:8" x14ac:dyDescent="0.25">
      <c r="B20" s="1" t="s">
        <v>154</v>
      </c>
      <c r="D20" s="52">
        <f>+Final!D20</f>
        <v>0</v>
      </c>
      <c r="E20" s="47">
        <v>0</v>
      </c>
      <c r="F20" s="64">
        <f t="shared" si="2"/>
        <v>0</v>
      </c>
      <c r="G20" s="7" t="str">
        <f t="shared" si="3"/>
        <v>NA</v>
      </c>
    </row>
    <row r="21" spans="1:8" x14ac:dyDescent="0.25">
      <c r="A21" s="15" t="s">
        <v>11</v>
      </c>
      <c r="B21" s="15"/>
      <c r="C21" s="15"/>
      <c r="D21" s="15">
        <f>SUM(D16:D20)</f>
        <v>10000</v>
      </c>
      <c r="E21" s="53">
        <f>SUM(E16:E20)</f>
        <v>10000</v>
      </c>
      <c r="F21" s="53">
        <f>SUM(F16:F20)</f>
        <v>0</v>
      </c>
      <c r="G21" s="16">
        <f t="shared" si="3"/>
        <v>0</v>
      </c>
    </row>
    <row r="22" spans="1:8" x14ac:dyDescent="0.25">
      <c r="A22" s="15" t="s">
        <v>14</v>
      </c>
      <c r="B22" s="15"/>
      <c r="C22" s="15"/>
      <c r="D22" s="15">
        <f>+D13+D21</f>
        <v>572505</v>
      </c>
      <c r="E22" s="53">
        <f>+E13+E21</f>
        <v>580036.6</v>
      </c>
      <c r="F22" s="53">
        <f>+F13+F21</f>
        <v>-7531.5999999999767</v>
      </c>
      <c r="G22" s="16">
        <f t="shared" si="3"/>
        <v>-1.2984697862169348E-2</v>
      </c>
    </row>
    <row r="23" spans="1:8" ht="6" customHeight="1" x14ac:dyDescent="0.25">
      <c r="G23" s="8"/>
    </row>
    <row r="24" spans="1:8" ht="18.75" x14ac:dyDescent="0.25">
      <c r="A24" s="11" t="s">
        <v>15</v>
      </c>
      <c r="G24" s="8"/>
    </row>
    <row r="25" spans="1:8" ht="18.75" x14ac:dyDescent="0.25">
      <c r="A25" s="11" t="s">
        <v>146</v>
      </c>
      <c r="G25" s="8"/>
    </row>
    <row r="26" spans="1:8" x14ac:dyDescent="0.25">
      <c r="B26" s="1" t="s">
        <v>17</v>
      </c>
      <c r="D26" s="52">
        <f>+Final!D26</f>
        <v>572505</v>
      </c>
      <c r="E26" s="49">
        <f>+E22</f>
        <v>580036.6</v>
      </c>
      <c r="F26" s="64">
        <f t="shared" ref="F26:F30" si="4">+D26-E26</f>
        <v>-7531.5999999999767</v>
      </c>
      <c r="G26" s="8"/>
    </row>
    <row r="27" spans="1:8" x14ac:dyDescent="0.25">
      <c r="B27" s="1" t="s">
        <v>16</v>
      </c>
      <c r="D27" s="52">
        <f>+Final!D27</f>
        <v>-54900</v>
      </c>
      <c r="E27" s="47">
        <v>-54876</v>
      </c>
      <c r="F27" s="64">
        <f t="shared" si="4"/>
        <v>-24</v>
      </c>
      <c r="G27" s="8"/>
      <c r="H27" s="46" t="s">
        <v>170</v>
      </c>
    </row>
    <row r="28" spans="1:8" x14ac:dyDescent="0.25">
      <c r="B28" s="1" t="s">
        <v>18</v>
      </c>
      <c r="D28" s="52">
        <f>+Final!D28</f>
        <v>-5000</v>
      </c>
      <c r="E28" s="47">
        <v>-5000</v>
      </c>
      <c r="F28" s="64">
        <f t="shared" si="4"/>
        <v>0</v>
      </c>
      <c r="G28" s="8"/>
      <c r="H28" s="46" t="s">
        <v>170</v>
      </c>
    </row>
    <row r="29" spans="1:8" x14ac:dyDescent="0.25">
      <c r="B29" s="1" t="s">
        <v>19</v>
      </c>
      <c r="D29" s="52">
        <f>+Final!D29</f>
        <v>-1400</v>
      </c>
      <c r="E29" s="47">
        <v>-660</v>
      </c>
      <c r="F29" s="64">
        <f t="shared" si="4"/>
        <v>-740</v>
      </c>
      <c r="G29" s="8"/>
      <c r="H29" s="46" t="s">
        <v>170</v>
      </c>
    </row>
    <row r="30" spans="1:8" x14ac:dyDescent="0.25">
      <c r="B30" s="1" t="s">
        <v>17</v>
      </c>
      <c r="D30" s="52">
        <f>+Final!D30</f>
        <v>511205</v>
      </c>
      <c r="E30" s="49">
        <f>SUM(E26:E29)</f>
        <v>519500.6</v>
      </c>
      <c r="F30" s="64">
        <f t="shared" si="4"/>
        <v>-8295.5999999999767</v>
      </c>
      <c r="G30" s="8"/>
    </row>
    <row r="31" spans="1:8" s="5" customFormat="1" x14ac:dyDescent="0.25">
      <c r="A31" s="18"/>
      <c r="B31" s="19" t="s">
        <v>147</v>
      </c>
      <c r="C31" s="18"/>
      <c r="D31" s="18">
        <f>ROUND(+D30*0.1,0)</f>
        <v>51121</v>
      </c>
      <c r="E31" s="54">
        <f>ROUND(+E30*0.1,0)</f>
        <v>51950</v>
      </c>
      <c r="F31" s="54">
        <f>ROUND(+F30*0.1,0)</f>
        <v>-830</v>
      </c>
      <c r="G31" s="21">
        <f>IF(E31=0,"NA",(+D31-E31)/E31)</f>
        <v>-1.5957651588065447E-2</v>
      </c>
      <c r="H31" s="14" t="s">
        <v>142</v>
      </c>
    </row>
    <row r="32" spans="1:8" s="5" customFormat="1" ht="6.75" customHeight="1" x14ac:dyDescent="0.25">
      <c r="A32" s="22"/>
      <c r="B32" s="23"/>
      <c r="C32" s="22"/>
      <c r="D32" s="22"/>
      <c r="E32" s="55"/>
      <c r="F32" s="55"/>
      <c r="G32" s="25"/>
      <c r="H32" s="14"/>
    </row>
    <row r="33" spans="1:8" s="5" customFormat="1" ht="18.75" x14ac:dyDescent="0.25">
      <c r="A33" s="26" t="s">
        <v>91</v>
      </c>
      <c r="B33" s="23"/>
      <c r="C33" s="22"/>
      <c r="D33" s="22"/>
      <c r="E33" s="55"/>
      <c r="F33" s="55"/>
      <c r="G33" s="25"/>
      <c r="H33" s="14"/>
    </row>
    <row r="34" spans="1:8" x14ac:dyDescent="0.25">
      <c r="A34" s="5" t="s">
        <v>20</v>
      </c>
      <c r="G34" s="8"/>
    </row>
    <row r="35" spans="1:8" x14ac:dyDescent="0.25">
      <c r="B35" s="1" t="s">
        <v>121</v>
      </c>
      <c r="D35" s="52">
        <f>+Final!D35</f>
        <v>4000</v>
      </c>
      <c r="E35" s="47">
        <v>4000</v>
      </c>
      <c r="F35" s="64">
        <f t="shared" ref="F35:F40" si="5">+D35-E35</f>
        <v>0</v>
      </c>
      <c r="G35" s="7">
        <f t="shared" ref="G35:G41" si="6">IF(E35=0,"NA",(+D35-E35)/E35)</f>
        <v>0</v>
      </c>
    </row>
    <row r="36" spans="1:8" x14ac:dyDescent="0.25">
      <c r="B36" s="1" t="s">
        <v>21</v>
      </c>
      <c r="D36" s="52">
        <f>+Final!D36</f>
        <v>750</v>
      </c>
      <c r="E36" s="47">
        <v>750</v>
      </c>
      <c r="F36" s="64">
        <f t="shared" si="5"/>
        <v>0</v>
      </c>
      <c r="G36" s="7">
        <f t="shared" si="6"/>
        <v>0</v>
      </c>
    </row>
    <row r="37" spans="1:8" x14ac:dyDescent="0.25">
      <c r="B37" s="1" t="s">
        <v>22</v>
      </c>
      <c r="D37" s="52">
        <f>+Final!D37</f>
        <v>750</v>
      </c>
      <c r="E37" s="47">
        <v>750</v>
      </c>
      <c r="F37" s="64">
        <f t="shared" si="5"/>
        <v>0</v>
      </c>
      <c r="G37" s="7">
        <f t="shared" si="6"/>
        <v>0</v>
      </c>
    </row>
    <row r="38" spans="1:8" x14ac:dyDescent="0.25">
      <c r="B38" s="1" t="s">
        <v>23</v>
      </c>
      <c r="D38" s="52">
        <f>+Final!D38</f>
        <v>500</v>
      </c>
      <c r="E38" s="47">
        <v>500</v>
      </c>
      <c r="F38" s="64">
        <f t="shared" si="5"/>
        <v>0</v>
      </c>
      <c r="G38" s="7">
        <f t="shared" si="6"/>
        <v>0</v>
      </c>
    </row>
    <row r="39" spans="1:8" x14ac:dyDescent="0.25">
      <c r="B39" s="1" t="s">
        <v>24</v>
      </c>
      <c r="D39" s="52">
        <f>+Final!D39</f>
        <v>200</v>
      </c>
      <c r="E39" s="47">
        <v>200</v>
      </c>
      <c r="F39" s="64">
        <f t="shared" si="5"/>
        <v>0</v>
      </c>
      <c r="G39" s="7">
        <f t="shared" si="6"/>
        <v>0</v>
      </c>
    </row>
    <row r="40" spans="1:8" x14ac:dyDescent="0.25">
      <c r="B40" s="1" t="s">
        <v>130</v>
      </c>
      <c r="D40" s="52">
        <f>+Final!D40</f>
        <v>1000</v>
      </c>
      <c r="E40" s="47">
        <v>1000</v>
      </c>
      <c r="F40" s="64">
        <f t="shared" si="5"/>
        <v>0</v>
      </c>
      <c r="G40" s="7">
        <f t="shared" si="6"/>
        <v>0</v>
      </c>
    </row>
    <row r="41" spans="1:8" s="5" customFormat="1" x14ac:dyDescent="0.25">
      <c r="A41" s="27" t="s">
        <v>25</v>
      </c>
      <c r="B41" s="27"/>
      <c r="C41" s="27"/>
      <c r="D41" s="27">
        <f>SUM(D35:D40)</f>
        <v>7200</v>
      </c>
      <c r="E41" s="56">
        <f>SUM(E35:E40)</f>
        <v>7200</v>
      </c>
      <c r="F41" s="56">
        <f>SUM(F35:F40)</f>
        <v>0</v>
      </c>
      <c r="G41" s="28">
        <f t="shared" si="6"/>
        <v>0</v>
      </c>
      <c r="H41" s="14"/>
    </row>
    <row r="42" spans="1:8" ht="6" customHeight="1" x14ac:dyDescent="0.25">
      <c r="G42" s="8"/>
    </row>
    <row r="43" spans="1:8" x14ac:dyDescent="0.25">
      <c r="A43" s="27" t="s">
        <v>26</v>
      </c>
      <c r="B43" s="27"/>
      <c r="C43" s="27"/>
      <c r="D43" s="51">
        <f>+Final!D43</f>
        <v>1100</v>
      </c>
      <c r="E43" s="57">
        <v>1100</v>
      </c>
      <c r="F43" s="56">
        <f>+D43-E43</f>
        <v>0</v>
      </c>
      <c r="G43" s="28">
        <f>IF(E43=0,"NA",(+D43-E43)/E43)</f>
        <v>0</v>
      </c>
    </row>
    <row r="44" spans="1:8" ht="7.5" customHeight="1" x14ac:dyDescent="0.25">
      <c r="G44" s="8"/>
    </row>
    <row r="45" spans="1:8" x14ac:dyDescent="0.25">
      <c r="A45" s="5" t="s">
        <v>27</v>
      </c>
      <c r="G45" s="8"/>
    </row>
    <row r="46" spans="1:8" x14ac:dyDescent="0.25">
      <c r="B46" s="1" t="s">
        <v>29</v>
      </c>
      <c r="D46" s="52">
        <f>+Final!D46</f>
        <v>4000</v>
      </c>
      <c r="E46" s="47">
        <v>4000</v>
      </c>
      <c r="F46" s="64">
        <f t="shared" ref="F46:F49" si="7">+D46-E46</f>
        <v>0</v>
      </c>
      <c r="G46" s="7">
        <f t="shared" ref="G46:G50" si="8">IF(E46=0,"NA",(+D46-E46)/E46)</f>
        <v>0</v>
      </c>
    </row>
    <row r="47" spans="1:8" x14ac:dyDescent="0.25">
      <c r="B47" s="1" t="s">
        <v>30</v>
      </c>
      <c r="D47" s="52">
        <f>+Final!D47</f>
        <v>2600</v>
      </c>
      <c r="E47" s="47">
        <f>ROUND(52*50,0)</f>
        <v>2600</v>
      </c>
      <c r="F47" s="64">
        <f t="shared" si="7"/>
        <v>0</v>
      </c>
      <c r="G47" s="7">
        <f t="shared" si="8"/>
        <v>0</v>
      </c>
    </row>
    <row r="48" spans="1:8" x14ac:dyDescent="0.25">
      <c r="B48" s="1" t="s">
        <v>31</v>
      </c>
      <c r="D48" s="52">
        <f>+Final!D48</f>
        <v>1200</v>
      </c>
      <c r="E48" s="47">
        <v>1500</v>
      </c>
      <c r="F48" s="64">
        <f t="shared" si="7"/>
        <v>-300</v>
      </c>
      <c r="G48" s="7">
        <f t="shared" si="8"/>
        <v>-0.2</v>
      </c>
      <c r="H48" s="46" t="s">
        <v>169</v>
      </c>
    </row>
    <row r="49" spans="1:8" x14ac:dyDescent="0.25">
      <c r="B49" s="1" t="s">
        <v>32</v>
      </c>
      <c r="D49" s="52">
        <f>+Final!D49</f>
        <v>300</v>
      </c>
      <c r="E49" s="47">
        <v>500</v>
      </c>
      <c r="F49" s="64">
        <f t="shared" si="7"/>
        <v>-200</v>
      </c>
      <c r="G49" s="7">
        <f t="shared" si="8"/>
        <v>-0.4</v>
      </c>
      <c r="H49" s="46" t="s">
        <v>169</v>
      </c>
    </row>
    <row r="50" spans="1:8" s="5" customFormat="1" x14ac:dyDescent="0.25">
      <c r="A50" s="27" t="s">
        <v>28</v>
      </c>
      <c r="B50" s="27"/>
      <c r="C50" s="27"/>
      <c r="D50" s="27">
        <f>SUM(D46:D49)</f>
        <v>8100</v>
      </c>
      <c r="E50" s="56">
        <f>SUM(E46:E49)</f>
        <v>8600</v>
      </c>
      <c r="F50" s="56">
        <f>SUM(F46:F49)</f>
        <v>-500</v>
      </c>
      <c r="G50" s="28">
        <f t="shared" si="8"/>
        <v>-5.8139534883720929E-2</v>
      </c>
      <c r="H50" s="14"/>
    </row>
    <row r="51" spans="1:8" ht="6.75" customHeight="1" x14ac:dyDescent="0.25">
      <c r="G51" s="8"/>
    </row>
    <row r="52" spans="1:8" x14ac:dyDescent="0.25">
      <c r="A52" s="5" t="s">
        <v>33</v>
      </c>
      <c r="G52" s="8"/>
    </row>
    <row r="53" spans="1:8" x14ac:dyDescent="0.25">
      <c r="B53" s="1" t="s">
        <v>34</v>
      </c>
      <c r="D53" s="52">
        <f>+Final!D53</f>
        <v>5000</v>
      </c>
      <c r="E53" s="47">
        <v>5000</v>
      </c>
      <c r="F53" s="64">
        <f t="shared" ref="F53:F55" si="9">+D53-E53</f>
        <v>0</v>
      </c>
      <c r="G53" s="7">
        <f t="shared" ref="G53:G56" si="10">IF(E53=0,"NA",(+D53-E53)/E53)</f>
        <v>0</v>
      </c>
    </row>
    <row r="54" spans="1:8" x14ac:dyDescent="0.25">
      <c r="B54" s="1" t="s">
        <v>155</v>
      </c>
      <c r="D54" s="52">
        <f>+Final!D54</f>
        <v>2000</v>
      </c>
      <c r="E54" s="47">
        <v>2000</v>
      </c>
      <c r="F54" s="64">
        <f t="shared" si="9"/>
        <v>0</v>
      </c>
      <c r="G54" s="7">
        <f t="shared" si="10"/>
        <v>0</v>
      </c>
    </row>
    <row r="55" spans="1:8" x14ac:dyDescent="0.25">
      <c r="B55" s="1" t="s">
        <v>159</v>
      </c>
      <c r="D55" s="52">
        <f>+Final!D55</f>
        <v>0</v>
      </c>
      <c r="E55" s="47">
        <v>600</v>
      </c>
      <c r="F55" s="64">
        <f t="shared" si="9"/>
        <v>-600</v>
      </c>
      <c r="G55" s="7">
        <f t="shared" si="10"/>
        <v>-1</v>
      </c>
      <c r="H55" s="46" t="s">
        <v>169</v>
      </c>
    </row>
    <row r="56" spans="1:8" s="5" customFormat="1" x14ac:dyDescent="0.25">
      <c r="A56" s="27" t="s">
        <v>35</v>
      </c>
      <c r="B56" s="27"/>
      <c r="C56" s="27"/>
      <c r="D56" s="27">
        <f>SUM(D53:D55)</f>
        <v>7000</v>
      </c>
      <c r="E56" s="56">
        <f>SUM(E53:E55)</f>
        <v>7600</v>
      </c>
      <c r="F56" s="56">
        <f>SUM(F53:F55)</f>
        <v>-600</v>
      </c>
      <c r="G56" s="28">
        <f t="shared" si="10"/>
        <v>-7.8947368421052627E-2</v>
      </c>
      <c r="H56" s="14"/>
    </row>
    <row r="57" spans="1:8" ht="6.75" customHeight="1" x14ac:dyDescent="0.25">
      <c r="G57" s="8"/>
    </row>
    <row r="58" spans="1:8" x14ac:dyDescent="0.25">
      <c r="A58" s="5" t="s">
        <v>153</v>
      </c>
      <c r="G58" s="8"/>
    </row>
    <row r="59" spans="1:8" x14ac:dyDescent="0.25">
      <c r="B59" s="1" t="s">
        <v>156</v>
      </c>
      <c r="D59" s="52">
        <f>+Final!D59</f>
        <v>300</v>
      </c>
      <c r="E59" s="47">
        <v>400</v>
      </c>
      <c r="F59" s="64">
        <f t="shared" ref="F59:F60" si="11">+D59-E59</f>
        <v>-100</v>
      </c>
      <c r="G59" s="7">
        <f t="shared" ref="G59:G61" si="12">IF(E59=0,"NA",(+D59-E59)/E59)</f>
        <v>-0.25</v>
      </c>
      <c r="H59" s="46" t="s">
        <v>169</v>
      </c>
    </row>
    <row r="60" spans="1:8" x14ac:dyDescent="0.25">
      <c r="B60" s="1" t="s">
        <v>134</v>
      </c>
      <c r="D60" s="52">
        <f>+Final!D60</f>
        <v>500</v>
      </c>
      <c r="E60" s="47">
        <v>500</v>
      </c>
      <c r="F60" s="64">
        <f t="shared" si="11"/>
        <v>0</v>
      </c>
      <c r="G60" s="7">
        <f t="shared" si="12"/>
        <v>0</v>
      </c>
    </row>
    <row r="61" spans="1:8" s="5" customFormat="1" x14ac:dyDescent="0.25">
      <c r="A61" s="27" t="s">
        <v>133</v>
      </c>
      <c r="B61" s="27"/>
      <c r="C61" s="27"/>
      <c r="D61" s="27">
        <f>SUM(D59:D60)</f>
        <v>800</v>
      </c>
      <c r="E61" s="56">
        <f>SUM(E59:E60)</f>
        <v>900</v>
      </c>
      <c r="F61" s="56">
        <f>SUM(F59:F60)</f>
        <v>-100</v>
      </c>
      <c r="G61" s="28">
        <f t="shared" si="12"/>
        <v>-0.1111111111111111</v>
      </c>
      <c r="H61" s="14"/>
    </row>
    <row r="62" spans="1:8" ht="5.25" customHeight="1" x14ac:dyDescent="0.25">
      <c r="G62" s="8"/>
    </row>
    <row r="63" spans="1:8" x14ac:dyDescent="0.25">
      <c r="A63" s="27" t="s">
        <v>36</v>
      </c>
      <c r="B63" s="30"/>
      <c r="C63" s="30"/>
      <c r="D63" s="51">
        <f>+Final!D63</f>
        <v>200</v>
      </c>
      <c r="E63" s="58">
        <v>200</v>
      </c>
      <c r="F63" s="56">
        <f>+D63-E63</f>
        <v>0</v>
      </c>
      <c r="G63" s="28">
        <f>IF(E63=0,"NA",(+D63-E63)/E63)</f>
        <v>0</v>
      </c>
    </row>
    <row r="64" spans="1:8" ht="6" customHeight="1" x14ac:dyDescent="0.25">
      <c r="G64" s="8"/>
    </row>
    <row r="65" spans="1:8" x14ac:dyDescent="0.25">
      <c r="A65" s="5" t="s">
        <v>37</v>
      </c>
      <c r="G65" s="8"/>
    </row>
    <row r="66" spans="1:8" x14ac:dyDescent="0.25">
      <c r="B66" s="1" t="s">
        <v>38</v>
      </c>
      <c r="D66" s="52">
        <f>+Final!D66</f>
        <v>600</v>
      </c>
      <c r="E66" s="47">
        <v>600</v>
      </c>
      <c r="F66" s="64">
        <f t="shared" ref="F66:F70" si="13">+D66-E66</f>
        <v>0</v>
      </c>
      <c r="G66" s="7">
        <f t="shared" ref="G66:G71" si="14">IF(E66=0,"NA",(+D66-E66)/E66)</f>
        <v>0</v>
      </c>
    </row>
    <row r="67" spans="1:8" x14ac:dyDescent="0.25">
      <c r="B67" s="1" t="s">
        <v>39</v>
      </c>
      <c r="D67" s="52">
        <f>+Final!D67</f>
        <v>1000</v>
      </c>
      <c r="E67" s="47">
        <v>1000</v>
      </c>
      <c r="F67" s="64">
        <f t="shared" si="13"/>
        <v>0</v>
      </c>
      <c r="G67" s="7">
        <f t="shared" si="14"/>
        <v>0</v>
      </c>
    </row>
    <row r="68" spans="1:8" x14ac:dyDescent="0.25">
      <c r="B68" s="1" t="s">
        <v>40</v>
      </c>
      <c r="D68" s="52">
        <f>+Final!D68</f>
        <v>700</v>
      </c>
      <c r="E68" s="47">
        <v>700</v>
      </c>
      <c r="F68" s="64">
        <f t="shared" si="13"/>
        <v>0</v>
      </c>
      <c r="G68" s="7">
        <f t="shared" si="14"/>
        <v>0</v>
      </c>
    </row>
    <row r="69" spans="1:8" x14ac:dyDescent="0.25">
      <c r="B69" s="1" t="s">
        <v>41</v>
      </c>
      <c r="D69" s="52">
        <f>+Final!D69</f>
        <v>800</v>
      </c>
      <c r="E69" s="47">
        <v>800</v>
      </c>
      <c r="F69" s="64">
        <f t="shared" si="13"/>
        <v>0</v>
      </c>
      <c r="G69" s="7">
        <f t="shared" si="14"/>
        <v>0</v>
      </c>
    </row>
    <row r="70" spans="1:8" x14ac:dyDescent="0.25">
      <c r="B70" s="1" t="s">
        <v>42</v>
      </c>
      <c r="D70" s="52">
        <f>+Final!D70</f>
        <v>800</v>
      </c>
      <c r="E70" s="47">
        <v>800</v>
      </c>
      <c r="F70" s="64">
        <f t="shared" si="13"/>
        <v>0</v>
      </c>
      <c r="G70" s="7">
        <f t="shared" si="14"/>
        <v>0</v>
      </c>
    </row>
    <row r="71" spans="1:8" s="5" customFormat="1" x14ac:dyDescent="0.25">
      <c r="A71" s="27" t="s">
        <v>43</v>
      </c>
      <c r="B71" s="27"/>
      <c r="C71" s="27"/>
      <c r="D71" s="27">
        <f>SUM(D66:D70)</f>
        <v>3900</v>
      </c>
      <c r="E71" s="56">
        <f>SUM(E66:E70)</f>
        <v>3900</v>
      </c>
      <c r="F71" s="56">
        <f>SUM(F66:F70)</f>
        <v>0</v>
      </c>
      <c r="G71" s="28">
        <f t="shared" si="14"/>
        <v>0</v>
      </c>
      <c r="H71" s="14"/>
    </row>
    <row r="72" spans="1:8" ht="6" customHeight="1" x14ac:dyDescent="0.25">
      <c r="G72" s="8"/>
    </row>
    <row r="73" spans="1:8" x14ac:dyDescent="0.25">
      <c r="A73" s="5" t="s">
        <v>44</v>
      </c>
      <c r="G73" s="8"/>
    </row>
    <row r="74" spans="1:8" x14ac:dyDescent="0.25">
      <c r="B74" s="1" t="s">
        <v>45</v>
      </c>
      <c r="D74" s="52">
        <f>+Final!D74</f>
        <v>6000</v>
      </c>
      <c r="E74" s="47">
        <v>6000</v>
      </c>
      <c r="F74" s="64">
        <f t="shared" ref="F74:F80" si="15">+D74-E74</f>
        <v>0</v>
      </c>
      <c r="G74" s="7">
        <f t="shared" ref="G74:G82" si="16">IF(E74=0,"NA",(+D74-E74)/E74)</f>
        <v>0</v>
      </c>
    </row>
    <row r="75" spans="1:8" x14ac:dyDescent="0.25">
      <c r="B75" s="1" t="s">
        <v>46</v>
      </c>
      <c r="D75" s="52">
        <f>+Final!D75</f>
        <v>5500</v>
      </c>
      <c r="E75" s="47">
        <v>5500</v>
      </c>
      <c r="F75" s="64">
        <f t="shared" si="15"/>
        <v>0</v>
      </c>
      <c r="G75" s="7">
        <f t="shared" si="16"/>
        <v>0</v>
      </c>
    </row>
    <row r="76" spans="1:8" x14ac:dyDescent="0.25">
      <c r="B76" s="1" t="s">
        <v>157</v>
      </c>
      <c r="D76" s="52">
        <f>+Final!D76</f>
        <v>500</v>
      </c>
      <c r="E76" s="47">
        <v>500</v>
      </c>
      <c r="F76" s="64">
        <f t="shared" si="15"/>
        <v>0</v>
      </c>
      <c r="G76" s="7">
        <f t="shared" si="16"/>
        <v>0</v>
      </c>
    </row>
    <row r="77" spans="1:8" x14ac:dyDescent="0.25">
      <c r="B77" s="1" t="s">
        <v>47</v>
      </c>
      <c r="D77" s="52">
        <f>+Final!D77</f>
        <v>253</v>
      </c>
      <c r="E77" s="47">
        <v>400</v>
      </c>
      <c r="F77" s="64">
        <f t="shared" si="15"/>
        <v>-147</v>
      </c>
      <c r="G77" s="7">
        <f t="shared" si="16"/>
        <v>-0.36749999999999999</v>
      </c>
      <c r="H77" s="46" t="s">
        <v>169</v>
      </c>
    </row>
    <row r="78" spans="1:8" x14ac:dyDescent="0.25">
      <c r="B78" s="1" t="s">
        <v>48</v>
      </c>
      <c r="D78" s="52">
        <f>+Final!D78</f>
        <v>18000</v>
      </c>
      <c r="E78" s="47">
        <v>18000</v>
      </c>
      <c r="F78" s="64">
        <f t="shared" si="15"/>
        <v>0</v>
      </c>
      <c r="G78" s="7">
        <f t="shared" si="16"/>
        <v>0</v>
      </c>
    </row>
    <row r="79" spans="1:8" x14ac:dyDescent="0.25">
      <c r="B79" s="1" t="s">
        <v>49</v>
      </c>
      <c r="D79" s="52">
        <f>+Final!D79</f>
        <v>1000</v>
      </c>
      <c r="E79" s="47">
        <v>1000</v>
      </c>
      <c r="F79" s="64">
        <f t="shared" si="15"/>
        <v>0</v>
      </c>
      <c r="G79" s="7">
        <f t="shared" si="16"/>
        <v>0</v>
      </c>
    </row>
    <row r="80" spans="1:8" x14ac:dyDescent="0.25">
      <c r="B80" s="1" t="s">
        <v>50</v>
      </c>
      <c r="D80" s="52">
        <f>+Final!D80</f>
        <v>1000</v>
      </c>
      <c r="E80" s="47">
        <v>1000</v>
      </c>
      <c r="F80" s="64">
        <f t="shared" si="15"/>
        <v>0</v>
      </c>
      <c r="G80" s="7">
        <f t="shared" si="16"/>
        <v>0</v>
      </c>
    </row>
    <row r="81" spans="1:8" s="5" customFormat="1" x14ac:dyDescent="0.25">
      <c r="A81" s="27" t="s">
        <v>53</v>
      </c>
      <c r="B81" s="27"/>
      <c r="C81" s="27"/>
      <c r="D81" s="27">
        <f>SUM(D74:D80)</f>
        <v>32253</v>
      </c>
      <c r="E81" s="56">
        <f>SUM(E74:E80)</f>
        <v>32400</v>
      </c>
      <c r="F81" s="56">
        <f>SUM(F74:F80)</f>
        <v>-147</v>
      </c>
      <c r="G81" s="28">
        <f t="shared" si="16"/>
        <v>-4.5370370370370373E-3</v>
      </c>
      <c r="H81" s="14"/>
    </row>
    <row r="82" spans="1:8" x14ac:dyDescent="0.25">
      <c r="A82" s="27" t="s">
        <v>132</v>
      </c>
      <c r="B82" s="32"/>
      <c r="C82" s="32"/>
      <c r="D82" s="27">
        <f>+D41+D43+D50+D56+D63+D71+D81+D61</f>
        <v>60553</v>
      </c>
      <c r="E82" s="56">
        <f>+E41+E43+E50+E56+E63+E71+E81+E61</f>
        <v>61900</v>
      </c>
      <c r="F82" s="56">
        <f>+F41+F43+F50+F56+F63+F71+F81+F61</f>
        <v>-1347</v>
      </c>
      <c r="G82" s="28">
        <f t="shared" si="16"/>
        <v>-2.1760904684975768E-2</v>
      </c>
    </row>
    <row r="83" spans="1:8" ht="8.25" customHeight="1" x14ac:dyDescent="0.25">
      <c r="G83" s="8"/>
    </row>
    <row r="84" spans="1:8" ht="18.75" x14ac:dyDescent="0.25">
      <c r="A84" s="11" t="s">
        <v>51</v>
      </c>
      <c r="G84" s="8"/>
    </row>
    <row r="85" spans="1:8" x14ac:dyDescent="0.25">
      <c r="A85" s="5" t="s">
        <v>52</v>
      </c>
      <c r="D85" s="45"/>
      <c r="E85" s="59"/>
      <c r="F85" s="59"/>
      <c r="G85" s="8"/>
    </row>
    <row r="86" spans="1:8" ht="30" x14ac:dyDescent="0.25">
      <c r="B86" s="1" t="s">
        <v>54</v>
      </c>
      <c r="D86" s="52">
        <f>+Final!D86</f>
        <v>89731</v>
      </c>
      <c r="E86" s="47">
        <v>90627.4</v>
      </c>
      <c r="F86" s="64">
        <f t="shared" ref="F86:F90" si="17">+D86-E86</f>
        <v>-896.39999999999418</v>
      </c>
      <c r="G86" s="7">
        <f t="shared" ref="G86:G91" si="18">IF(E86=0,"NA",(+D86-E86)/E86)</f>
        <v>-9.8910484025801718E-3</v>
      </c>
      <c r="H86" s="46" t="s">
        <v>171</v>
      </c>
    </row>
    <row r="87" spans="1:8" x14ac:dyDescent="0.25">
      <c r="B87" s="1" t="s">
        <v>55</v>
      </c>
      <c r="D87" s="52">
        <f>+Final!D87</f>
        <v>5500</v>
      </c>
      <c r="E87" s="47">
        <v>5500</v>
      </c>
      <c r="F87" s="64">
        <f t="shared" si="17"/>
        <v>0</v>
      </c>
      <c r="G87" s="7">
        <f t="shared" si="18"/>
        <v>0</v>
      </c>
    </row>
    <row r="88" spans="1:8" ht="30" x14ac:dyDescent="0.25">
      <c r="B88" s="1" t="s">
        <v>56</v>
      </c>
      <c r="D88" s="52">
        <f>+Final!D88</f>
        <v>34149</v>
      </c>
      <c r="E88" s="47">
        <v>34340</v>
      </c>
      <c r="F88" s="64">
        <f t="shared" si="17"/>
        <v>-191</v>
      </c>
      <c r="G88" s="7">
        <f t="shared" si="18"/>
        <v>-5.5620267909143855E-3</v>
      </c>
      <c r="H88" s="46" t="s">
        <v>172</v>
      </c>
    </row>
    <row r="89" spans="1:8" x14ac:dyDescent="0.25">
      <c r="B89" s="1" t="s">
        <v>57</v>
      </c>
      <c r="D89" s="52">
        <f>+Final!D89</f>
        <v>4000</v>
      </c>
      <c r="E89" s="47">
        <v>4000</v>
      </c>
      <c r="F89" s="64">
        <f t="shared" si="17"/>
        <v>0</v>
      </c>
      <c r="G89" s="7">
        <f t="shared" si="18"/>
        <v>0</v>
      </c>
    </row>
    <row r="90" spans="1:8" x14ac:dyDescent="0.25">
      <c r="B90" s="1" t="s">
        <v>58</v>
      </c>
      <c r="D90" s="52">
        <f>+Final!D90</f>
        <v>3000</v>
      </c>
      <c r="E90" s="47">
        <v>3000</v>
      </c>
      <c r="F90" s="64">
        <f t="shared" si="17"/>
        <v>0</v>
      </c>
      <c r="G90" s="7">
        <f t="shared" si="18"/>
        <v>0</v>
      </c>
    </row>
    <row r="91" spans="1:8" s="5" customFormat="1" x14ac:dyDescent="0.25">
      <c r="A91" s="33" t="s">
        <v>59</v>
      </c>
      <c r="B91" s="33"/>
      <c r="C91" s="33"/>
      <c r="D91" s="33">
        <f>SUM(D86:D90)</f>
        <v>136380</v>
      </c>
      <c r="E91" s="60">
        <f>SUM(E86:E90)</f>
        <v>137467.4</v>
      </c>
      <c r="F91" s="60">
        <f>SUM(F86:F90)</f>
        <v>-1087.3999999999942</v>
      </c>
      <c r="G91" s="34">
        <f t="shared" si="18"/>
        <v>-7.910239082138705E-3</v>
      </c>
      <c r="H91" s="14"/>
    </row>
    <row r="92" spans="1:8" ht="6.75" customHeight="1" x14ac:dyDescent="0.25">
      <c r="G92" s="8"/>
    </row>
    <row r="93" spans="1:8" x14ac:dyDescent="0.25">
      <c r="A93" s="5" t="s">
        <v>60</v>
      </c>
      <c r="G93" s="8"/>
    </row>
    <row r="94" spans="1:8" ht="30" x14ac:dyDescent="0.25">
      <c r="B94" s="1" t="s">
        <v>61</v>
      </c>
      <c r="D94" s="52">
        <f>+Final!D94</f>
        <v>11307</v>
      </c>
      <c r="E94" s="47">
        <v>11420</v>
      </c>
      <c r="F94" s="64">
        <f t="shared" ref="F94:F95" si="19">+D94-E94</f>
        <v>-113</v>
      </c>
      <c r="G94" s="7">
        <f t="shared" ref="G94:G96" si="20">IF(E94=0,"NA",(+D94-E94)/E94)</f>
        <v>-9.8949211908931703E-3</v>
      </c>
      <c r="H94" s="46" t="s">
        <v>171</v>
      </c>
    </row>
    <row r="95" spans="1:8" x14ac:dyDescent="0.25">
      <c r="B95" s="1" t="s">
        <v>62</v>
      </c>
      <c r="D95" s="52">
        <f>+Final!D95</f>
        <v>5000</v>
      </c>
      <c r="E95" s="47">
        <v>5000</v>
      </c>
      <c r="F95" s="64">
        <f t="shared" si="19"/>
        <v>0</v>
      </c>
      <c r="G95" s="7">
        <f t="shared" si="20"/>
        <v>0</v>
      </c>
    </row>
    <row r="96" spans="1:8" s="5" customFormat="1" x14ac:dyDescent="0.25">
      <c r="A96" s="33" t="s">
        <v>63</v>
      </c>
      <c r="B96" s="33"/>
      <c r="C96" s="33"/>
      <c r="D96" s="33">
        <f>SUM(D94:D95)</f>
        <v>16307</v>
      </c>
      <c r="E96" s="60">
        <f>SUM(E94:E95)</f>
        <v>16420</v>
      </c>
      <c r="F96" s="60">
        <f>SUM(F94:F95)</f>
        <v>-113</v>
      </c>
      <c r="G96" s="34">
        <f t="shared" si="20"/>
        <v>-6.8818514007308162E-3</v>
      </c>
      <c r="H96" s="14"/>
    </row>
    <row r="97" spans="1:8" ht="4.5" customHeight="1" x14ac:dyDescent="0.25">
      <c r="G97" s="8"/>
    </row>
    <row r="98" spans="1:8" x14ac:dyDescent="0.25">
      <c r="A98" s="5" t="s">
        <v>64</v>
      </c>
      <c r="G98" s="8"/>
    </row>
    <row r="99" spans="1:8" ht="30" x14ac:dyDescent="0.25">
      <c r="B99" s="1" t="s">
        <v>61</v>
      </c>
      <c r="D99" s="52">
        <f>+Final!D99</f>
        <v>13527</v>
      </c>
      <c r="E99" s="47">
        <v>13662</v>
      </c>
      <c r="F99" s="64">
        <f t="shared" ref="F99:F100" si="21">+D99-E99</f>
        <v>-135</v>
      </c>
      <c r="G99" s="7">
        <f t="shared" ref="G99:G101" si="22">IF(E99=0,"NA",(+D99-E99)/E99)</f>
        <v>-9.881422924901186E-3</v>
      </c>
      <c r="H99" s="46" t="s">
        <v>171</v>
      </c>
    </row>
    <row r="100" spans="1:8" x14ac:dyDescent="0.25">
      <c r="B100" s="1" t="s">
        <v>65</v>
      </c>
      <c r="D100" s="52">
        <f>+Final!D100</f>
        <v>750</v>
      </c>
      <c r="E100" s="47">
        <v>750</v>
      </c>
      <c r="F100" s="64">
        <f t="shared" si="21"/>
        <v>0</v>
      </c>
      <c r="G100" s="7">
        <f t="shared" si="22"/>
        <v>0</v>
      </c>
    </row>
    <row r="101" spans="1:8" s="5" customFormat="1" x14ac:dyDescent="0.25">
      <c r="A101" s="33" t="s">
        <v>66</v>
      </c>
      <c r="B101" s="33"/>
      <c r="C101" s="33"/>
      <c r="D101" s="33">
        <f>SUM(D99:D100)</f>
        <v>14277</v>
      </c>
      <c r="E101" s="60">
        <f>SUM(E99:E100)</f>
        <v>14412</v>
      </c>
      <c r="F101" s="60">
        <f>SUM(F99:F100)</f>
        <v>-135</v>
      </c>
      <c r="G101" s="34">
        <f t="shared" si="22"/>
        <v>-9.3671940049958376E-3</v>
      </c>
      <c r="H101" s="14"/>
    </row>
    <row r="102" spans="1:8" ht="6" customHeight="1" x14ac:dyDescent="0.25">
      <c r="G102" s="8"/>
    </row>
    <row r="103" spans="1:8" x14ac:dyDescent="0.25">
      <c r="A103" s="5" t="s">
        <v>67</v>
      </c>
      <c r="G103" s="8"/>
    </row>
    <row r="104" spans="1:8" x14ac:dyDescent="0.25">
      <c r="B104" s="1" t="s">
        <v>61</v>
      </c>
      <c r="D104" s="52">
        <f>+Final!D104</f>
        <v>34954</v>
      </c>
      <c r="E104" s="47">
        <v>34954</v>
      </c>
      <c r="F104" s="64">
        <f t="shared" ref="F104:F109" si="23">+D104-E104</f>
        <v>0</v>
      </c>
      <c r="G104" s="7">
        <f t="shared" ref="G104:G110" si="24">IF(E104=0,"NA",(+D104-E104)/E104)</f>
        <v>0</v>
      </c>
    </row>
    <row r="105" spans="1:8" x14ac:dyDescent="0.25">
      <c r="B105" s="1" t="s">
        <v>56</v>
      </c>
      <c r="D105" s="52">
        <f>+Final!D105</f>
        <v>4999</v>
      </c>
      <c r="E105" s="47">
        <v>4999</v>
      </c>
      <c r="F105" s="64">
        <f t="shared" si="23"/>
        <v>0</v>
      </c>
      <c r="G105" s="7">
        <f t="shared" si="24"/>
        <v>0</v>
      </c>
    </row>
    <row r="106" spans="1:8" x14ac:dyDescent="0.25">
      <c r="B106" s="1" t="s">
        <v>58</v>
      </c>
      <c r="D106" s="52">
        <f>+Final!D106</f>
        <v>750</v>
      </c>
      <c r="E106" s="47">
        <v>750</v>
      </c>
      <c r="F106" s="64">
        <f t="shared" si="23"/>
        <v>0</v>
      </c>
      <c r="G106" s="7">
        <f t="shared" si="24"/>
        <v>0</v>
      </c>
    </row>
    <row r="107" spans="1:8" x14ac:dyDescent="0.25">
      <c r="B107" s="1" t="s">
        <v>57</v>
      </c>
      <c r="D107" s="52">
        <f>+Final!D107</f>
        <v>2000</v>
      </c>
      <c r="E107" s="47">
        <v>2000</v>
      </c>
      <c r="F107" s="64">
        <f t="shared" si="23"/>
        <v>0</v>
      </c>
      <c r="G107" s="7">
        <f t="shared" si="24"/>
        <v>0</v>
      </c>
    </row>
    <row r="108" spans="1:8" x14ac:dyDescent="0.25">
      <c r="B108" s="1" t="s">
        <v>62</v>
      </c>
      <c r="D108" s="52">
        <f>+Final!D108</f>
        <v>1500</v>
      </c>
      <c r="E108" s="47">
        <v>1500</v>
      </c>
      <c r="F108" s="64">
        <f t="shared" si="23"/>
        <v>0</v>
      </c>
      <c r="G108" s="7">
        <f t="shared" si="24"/>
        <v>0</v>
      </c>
    </row>
    <row r="109" spans="1:8" x14ac:dyDescent="0.25">
      <c r="B109" s="1" t="s">
        <v>68</v>
      </c>
      <c r="D109" s="52">
        <f>+Final!D109</f>
        <v>1116</v>
      </c>
      <c r="E109" s="47">
        <v>1116</v>
      </c>
      <c r="F109" s="64">
        <f t="shared" si="23"/>
        <v>0</v>
      </c>
      <c r="G109" s="7">
        <f t="shared" si="24"/>
        <v>0</v>
      </c>
    </row>
    <row r="110" spans="1:8" s="5" customFormat="1" x14ac:dyDescent="0.25">
      <c r="A110" s="33" t="s">
        <v>69</v>
      </c>
      <c r="B110" s="33"/>
      <c r="C110" s="33"/>
      <c r="D110" s="33">
        <f>SUM(D104:D109)</f>
        <v>45319</v>
      </c>
      <c r="E110" s="60">
        <f>SUM(E104:E109)</f>
        <v>45319</v>
      </c>
      <c r="F110" s="60">
        <f>SUM(F104:F109)</f>
        <v>0</v>
      </c>
      <c r="G110" s="34">
        <f t="shared" si="24"/>
        <v>0</v>
      </c>
      <c r="H110" s="14"/>
    </row>
    <row r="111" spans="1:8" ht="6" customHeight="1" x14ac:dyDescent="0.25">
      <c r="G111" s="8"/>
    </row>
    <row r="112" spans="1:8" x14ac:dyDescent="0.25">
      <c r="A112" s="5" t="s">
        <v>70</v>
      </c>
      <c r="G112" s="8"/>
    </row>
    <row r="113" spans="1:10" ht="30" x14ac:dyDescent="0.25">
      <c r="B113" s="1" t="s">
        <v>71</v>
      </c>
      <c r="D113" s="52">
        <f>+Final!D113</f>
        <v>9580</v>
      </c>
      <c r="E113" s="47">
        <v>9676</v>
      </c>
      <c r="F113" s="64">
        <f t="shared" ref="F113:F118" si="25">+D113-E113</f>
        <v>-96</v>
      </c>
      <c r="G113" s="7">
        <f t="shared" ref="G113:G119" si="26">IF(E113=0,"NA",(+D113-E113)/E113)</f>
        <v>-9.9214551467548574E-3</v>
      </c>
      <c r="H113" s="46" t="s">
        <v>171</v>
      </c>
    </row>
    <row r="114" spans="1:10" x14ac:dyDescent="0.25">
      <c r="B114" s="1" t="s">
        <v>72</v>
      </c>
      <c r="D114" s="52">
        <f>+Final!D114</f>
        <v>500</v>
      </c>
      <c r="E114" s="47">
        <v>500</v>
      </c>
      <c r="F114" s="64">
        <f t="shared" si="25"/>
        <v>0</v>
      </c>
      <c r="G114" s="7">
        <f t="shared" si="26"/>
        <v>0</v>
      </c>
    </row>
    <row r="115" spans="1:10" ht="30" x14ac:dyDescent="0.25">
      <c r="B115" s="1" t="s">
        <v>73</v>
      </c>
      <c r="D115" s="52">
        <f>+Final!D115</f>
        <v>17796</v>
      </c>
      <c r="E115" s="47">
        <v>17974</v>
      </c>
      <c r="F115" s="64">
        <f t="shared" si="25"/>
        <v>-178</v>
      </c>
      <c r="G115" s="7">
        <f t="shared" si="26"/>
        <v>-9.9031935017247132E-3</v>
      </c>
      <c r="H115" s="46" t="s">
        <v>171</v>
      </c>
    </row>
    <row r="116" spans="1:10" ht="30" x14ac:dyDescent="0.25">
      <c r="B116" s="1" t="s">
        <v>74</v>
      </c>
      <c r="D116" s="52">
        <f>+Final!D116</f>
        <v>6581</v>
      </c>
      <c r="E116" s="47">
        <v>6647</v>
      </c>
      <c r="F116" s="64">
        <f t="shared" si="25"/>
        <v>-66</v>
      </c>
      <c r="G116" s="7">
        <f t="shared" si="26"/>
        <v>-9.9292914096584927E-3</v>
      </c>
      <c r="H116" s="46" t="s">
        <v>171</v>
      </c>
    </row>
    <row r="117" spans="1:10" ht="30" x14ac:dyDescent="0.25">
      <c r="B117" s="1" t="s">
        <v>75</v>
      </c>
      <c r="D117" s="52">
        <f>+Final!D117</f>
        <v>1698</v>
      </c>
      <c r="E117" s="47">
        <v>1715</v>
      </c>
      <c r="F117" s="64">
        <f t="shared" si="25"/>
        <v>-17</v>
      </c>
      <c r="G117" s="7">
        <f t="shared" si="26"/>
        <v>-9.9125364431486875E-3</v>
      </c>
      <c r="H117" s="46" t="s">
        <v>171</v>
      </c>
    </row>
    <row r="118" spans="1:10" x14ac:dyDescent="0.25">
      <c r="B118" s="1" t="s">
        <v>76</v>
      </c>
      <c r="D118" s="52">
        <f>+Final!D118</f>
        <v>2400</v>
      </c>
      <c r="E118" s="47">
        <v>2500</v>
      </c>
      <c r="F118" s="64">
        <f t="shared" si="25"/>
        <v>-100</v>
      </c>
      <c r="G118" s="7">
        <f t="shared" si="26"/>
        <v>-0.04</v>
      </c>
      <c r="H118" s="46" t="s">
        <v>169</v>
      </c>
    </row>
    <row r="119" spans="1:10" s="5" customFormat="1" x14ac:dyDescent="0.25">
      <c r="A119" s="33" t="s">
        <v>77</v>
      </c>
      <c r="B119" s="33"/>
      <c r="C119" s="33"/>
      <c r="D119" s="33">
        <f>SUM(D113:D118)</f>
        <v>38555</v>
      </c>
      <c r="E119" s="60">
        <f>SUM(E113:E118)</f>
        <v>39012</v>
      </c>
      <c r="F119" s="60">
        <f>SUM(F113:F118)</f>
        <v>-457</v>
      </c>
      <c r="G119" s="34">
        <f t="shared" si="26"/>
        <v>-1.171434430431662E-2</v>
      </c>
      <c r="H119" s="14"/>
    </row>
    <row r="120" spans="1:10" ht="6.75" customHeight="1" x14ac:dyDescent="0.25">
      <c r="G120" s="8"/>
    </row>
    <row r="121" spans="1:10" x14ac:dyDescent="0.25">
      <c r="A121" s="5" t="s">
        <v>78</v>
      </c>
      <c r="G121" s="8"/>
    </row>
    <row r="122" spans="1:10" ht="30" x14ac:dyDescent="0.25">
      <c r="B122" s="1" t="s">
        <v>161</v>
      </c>
      <c r="D122" s="52">
        <f>+Final!D122</f>
        <v>12075</v>
      </c>
      <c r="E122" s="47">
        <v>12417</v>
      </c>
      <c r="F122" s="64">
        <f t="shared" ref="F122:F131" si="27">+D122-E122</f>
        <v>-342</v>
      </c>
      <c r="G122" s="7">
        <f t="shared" ref="G122:G133" si="28">IF(E122=0,"NA",(+D122-E122)/E122)</f>
        <v>-2.7542884754771683E-2</v>
      </c>
      <c r="H122" s="46" t="s">
        <v>173</v>
      </c>
      <c r="J122" s="35"/>
    </row>
    <row r="123" spans="1:10" ht="39.75" customHeight="1" x14ac:dyDescent="0.25">
      <c r="B123" s="1" t="s">
        <v>80</v>
      </c>
      <c r="D123" s="52">
        <f>+Final!D123</f>
        <v>31118</v>
      </c>
      <c r="E123" s="47">
        <v>31274</v>
      </c>
      <c r="F123" s="64">
        <f t="shared" si="27"/>
        <v>-156</v>
      </c>
      <c r="G123" s="7">
        <f t="shared" si="28"/>
        <v>-4.9881690861418434E-3</v>
      </c>
      <c r="H123" s="46" t="s">
        <v>171</v>
      </c>
      <c r="J123" s="35"/>
    </row>
    <row r="124" spans="1:10" x14ac:dyDescent="0.25">
      <c r="B124" s="1" t="s">
        <v>81</v>
      </c>
      <c r="D124" s="52">
        <f>+Final!D124</f>
        <v>500</v>
      </c>
      <c r="E124" s="47">
        <v>500</v>
      </c>
      <c r="F124" s="64">
        <f t="shared" si="27"/>
        <v>0</v>
      </c>
      <c r="G124" s="7">
        <f t="shared" si="28"/>
        <v>0</v>
      </c>
      <c r="J124" s="35"/>
    </row>
    <row r="125" spans="1:10" x14ac:dyDescent="0.25">
      <c r="B125" s="1" t="s">
        <v>82</v>
      </c>
      <c r="D125" s="52">
        <f>+Final!D125</f>
        <v>1000</v>
      </c>
      <c r="E125" s="47">
        <v>1000</v>
      </c>
      <c r="F125" s="64">
        <f t="shared" si="27"/>
        <v>0</v>
      </c>
      <c r="G125" s="7">
        <f t="shared" si="28"/>
        <v>0</v>
      </c>
      <c r="J125" s="35"/>
    </row>
    <row r="126" spans="1:10" x14ac:dyDescent="0.25">
      <c r="B126" s="1" t="s">
        <v>83</v>
      </c>
      <c r="D126" s="52">
        <f>+Final!D126</f>
        <v>600</v>
      </c>
      <c r="E126" s="47">
        <f>7.5*4*20</f>
        <v>600</v>
      </c>
      <c r="F126" s="64">
        <f t="shared" si="27"/>
        <v>0</v>
      </c>
      <c r="G126" s="7">
        <f t="shared" si="28"/>
        <v>0</v>
      </c>
      <c r="I126" s="6"/>
      <c r="J126" s="35"/>
    </row>
    <row r="127" spans="1:10" x14ac:dyDescent="0.25">
      <c r="B127" s="1" t="s">
        <v>131</v>
      </c>
      <c r="D127" s="52">
        <f>+Final!D127</f>
        <v>17250</v>
      </c>
      <c r="E127" s="47">
        <f>11.5*30*50</f>
        <v>17250</v>
      </c>
      <c r="F127" s="64">
        <f t="shared" si="27"/>
        <v>0</v>
      </c>
      <c r="G127" s="7">
        <f t="shared" si="28"/>
        <v>0</v>
      </c>
      <c r="J127" s="35"/>
    </row>
    <row r="128" spans="1:10" ht="30" x14ac:dyDescent="0.25">
      <c r="B128" s="1" t="s">
        <v>84</v>
      </c>
      <c r="D128" s="52">
        <f>+Final!D128</f>
        <v>9800</v>
      </c>
      <c r="E128" s="47">
        <v>9865</v>
      </c>
      <c r="F128" s="64">
        <f t="shared" si="27"/>
        <v>-65</v>
      </c>
      <c r="G128" s="7">
        <f t="shared" si="28"/>
        <v>-6.5889508362899137E-3</v>
      </c>
      <c r="H128" s="46" t="s">
        <v>172</v>
      </c>
      <c r="J128" s="35"/>
    </row>
    <row r="129" spans="1:8" x14ac:dyDescent="0.25">
      <c r="B129" s="1" t="s">
        <v>85</v>
      </c>
      <c r="D129" s="52">
        <f>+Final!D129</f>
        <v>3400</v>
      </c>
      <c r="E129" s="47">
        <v>3400</v>
      </c>
      <c r="F129" s="64">
        <f t="shared" si="27"/>
        <v>0</v>
      </c>
      <c r="G129" s="7">
        <f t="shared" si="28"/>
        <v>0</v>
      </c>
    </row>
    <row r="130" spans="1:8" x14ac:dyDescent="0.25">
      <c r="B130" s="1" t="s">
        <v>86</v>
      </c>
      <c r="D130" s="52">
        <f>+Final!D130</f>
        <v>600</v>
      </c>
      <c r="E130" s="47">
        <v>600</v>
      </c>
      <c r="F130" s="64">
        <f t="shared" si="27"/>
        <v>0</v>
      </c>
      <c r="G130" s="7">
        <f t="shared" si="28"/>
        <v>0</v>
      </c>
    </row>
    <row r="131" spans="1:8" x14ac:dyDescent="0.25">
      <c r="B131" s="1" t="s">
        <v>87</v>
      </c>
      <c r="D131" s="52">
        <f>+Final!D131</f>
        <v>-5000</v>
      </c>
      <c r="E131" s="47">
        <v>-5000</v>
      </c>
      <c r="F131" s="64">
        <f t="shared" si="27"/>
        <v>0</v>
      </c>
      <c r="G131" s="7">
        <f t="shared" si="28"/>
        <v>0</v>
      </c>
    </row>
    <row r="132" spans="1:8" s="5" customFormat="1" x14ac:dyDescent="0.25">
      <c r="A132" s="33" t="s">
        <v>79</v>
      </c>
      <c r="B132" s="33"/>
      <c r="C132" s="33"/>
      <c r="D132" s="33">
        <f>SUM(D122:D131)</f>
        <v>71343</v>
      </c>
      <c r="E132" s="60">
        <f>SUM(E122:E131)</f>
        <v>71906</v>
      </c>
      <c r="F132" s="60">
        <f>SUM(F122:F131)</f>
        <v>-563</v>
      </c>
      <c r="G132" s="34">
        <f t="shared" si="28"/>
        <v>-7.8296665090534859E-3</v>
      </c>
      <c r="H132" s="14"/>
    </row>
    <row r="133" spans="1:8" x14ac:dyDescent="0.25">
      <c r="A133" s="33" t="s">
        <v>88</v>
      </c>
      <c r="B133" s="33"/>
      <c r="C133" s="44"/>
      <c r="D133" s="33">
        <f>+D91+D96+D101+D110+D119+D132</f>
        <v>322181</v>
      </c>
      <c r="E133" s="60">
        <f>+E91+E96+E101+E110+E119+E132</f>
        <v>324536.40000000002</v>
      </c>
      <c r="F133" s="60">
        <f>+F91+F96+F101+F110+F119+F132</f>
        <v>-2355.3999999999942</v>
      </c>
      <c r="G133" s="34">
        <f t="shared" si="28"/>
        <v>-7.2577374987829501E-3</v>
      </c>
    </row>
    <row r="134" spans="1:8" ht="8.25" customHeight="1" x14ac:dyDescent="0.25">
      <c r="G134" s="8"/>
    </row>
    <row r="135" spans="1:8" ht="18.75" x14ac:dyDescent="0.25">
      <c r="A135" s="11" t="s">
        <v>89</v>
      </c>
      <c r="G135" s="8"/>
    </row>
    <row r="136" spans="1:8" x14ac:dyDescent="0.25">
      <c r="A136" s="5" t="s">
        <v>90</v>
      </c>
      <c r="G136" s="8"/>
    </row>
    <row r="137" spans="1:8" x14ac:dyDescent="0.25">
      <c r="B137" s="1" t="s">
        <v>92</v>
      </c>
      <c r="D137" s="52">
        <f>+Final!D137</f>
        <v>18000</v>
      </c>
      <c r="E137" s="47">
        <v>18000</v>
      </c>
      <c r="F137" s="64">
        <f t="shared" ref="F137:F143" si="29">+D137-E137</f>
        <v>0</v>
      </c>
      <c r="G137" s="7">
        <f t="shared" ref="G137:G144" si="30">IF(E137=0,"NA",(+D137-E137)/E137)</f>
        <v>0</v>
      </c>
    </row>
    <row r="138" spans="1:8" x14ac:dyDescent="0.25">
      <c r="B138" s="1" t="s">
        <v>93</v>
      </c>
      <c r="D138" s="52">
        <f>+Final!D138</f>
        <v>12000</v>
      </c>
      <c r="E138" s="47">
        <v>12000</v>
      </c>
      <c r="F138" s="64">
        <f t="shared" si="29"/>
        <v>0</v>
      </c>
      <c r="G138" s="7">
        <f t="shared" si="30"/>
        <v>0</v>
      </c>
    </row>
    <row r="139" spans="1:8" x14ac:dyDescent="0.25">
      <c r="B139" s="1" t="s">
        <v>94</v>
      </c>
      <c r="D139" s="52">
        <f>+Final!D139</f>
        <v>3400</v>
      </c>
      <c r="E139" s="47">
        <v>3400</v>
      </c>
      <c r="F139" s="64">
        <f t="shared" si="29"/>
        <v>0</v>
      </c>
      <c r="G139" s="7">
        <f t="shared" si="30"/>
        <v>0</v>
      </c>
    </row>
    <row r="140" spans="1:8" x14ac:dyDescent="0.25">
      <c r="B140" s="1" t="s">
        <v>95</v>
      </c>
      <c r="D140" s="52">
        <f>+Final!D140</f>
        <v>850</v>
      </c>
      <c r="E140" s="47">
        <v>850</v>
      </c>
      <c r="F140" s="64">
        <f t="shared" si="29"/>
        <v>0</v>
      </c>
      <c r="G140" s="7">
        <f t="shared" si="30"/>
        <v>0</v>
      </c>
    </row>
    <row r="141" spans="1:8" x14ac:dyDescent="0.25">
      <c r="B141" s="1" t="s">
        <v>96</v>
      </c>
      <c r="D141" s="52">
        <f>+Final!D141</f>
        <v>3300</v>
      </c>
      <c r="E141" s="47">
        <v>3300</v>
      </c>
      <c r="F141" s="64">
        <f t="shared" si="29"/>
        <v>0</v>
      </c>
      <c r="G141" s="7">
        <f t="shared" si="30"/>
        <v>0</v>
      </c>
    </row>
    <row r="142" spans="1:8" x14ac:dyDescent="0.25">
      <c r="B142" s="1" t="s">
        <v>97</v>
      </c>
      <c r="D142" s="52">
        <f>+Final!D142</f>
        <v>2500</v>
      </c>
      <c r="E142" s="47">
        <v>2500</v>
      </c>
      <c r="F142" s="64">
        <f t="shared" si="29"/>
        <v>0</v>
      </c>
      <c r="G142" s="7">
        <f t="shared" si="30"/>
        <v>0</v>
      </c>
    </row>
    <row r="143" spans="1:8" x14ac:dyDescent="0.25">
      <c r="B143" s="1" t="s">
        <v>98</v>
      </c>
      <c r="D143" s="52">
        <f>+Final!D143</f>
        <v>3100</v>
      </c>
      <c r="E143" s="47">
        <v>3100</v>
      </c>
      <c r="F143" s="64">
        <f t="shared" si="29"/>
        <v>0</v>
      </c>
      <c r="G143" s="7">
        <f t="shared" si="30"/>
        <v>0</v>
      </c>
    </row>
    <row r="144" spans="1:8" s="5" customFormat="1" x14ac:dyDescent="0.25">
      <c r="A144" s="36" t="s">
        <v>99</v>
      </c>
      <c r="B144" s="36"/>
      <c r="C144" s="36"/>
      <c r="D144" s="36">
        <f>SUM(D137:D143)</f>
        <v>43150</v>
      </c>
      <c r="E144" s="61">
        <f>SUM(E137:E143)</f>
        <v>43150</v>
      </c>
      <c r="F144" s="61">
        <f>SUM(F137:F143)</f>
        <v>0</v>
      </c>
      <c r="G144" s="37">
        <f t="shared" si="30"/>
        <v>0</v>
      </c>
      <c r="H144" s="14"/>
    </row>
    <row r="145" spans="1:8" s="5" customFormat="1" ht="6.75" customHeight="1" x14ac:dyDescent="0.25">
      <c r="A145" s="22"/>
      <c r="B145" s="22"/>
      <c r="C145" s="22"/>
      <c r="D145" s="22"/>
      <c r="E145" s="55"/>
      <c r="F145" s="55"/>
      <c r="G145" s="25"/>
      <c r="H145" s="14"/>
    </row>
    <row r="146" spans="1:8" x14ac:dyDescent="0.25">
      <c r="A146" s="5" t="s">
        <v>100</v>
      </c>
      <c r="G146" s="8"/>
    </row>
    <row r="147" spans="1:8" x14ac:dyDescent="0.25">
      <c r="B147" s="1" t="s">
        <v>101</v>
      </c>
      <c r="D147" s="52">
        <f>+Final!D147</f>
        <v>12000</v>
      </c>
      <c r="E147" s="47">
        <v>12000</v>
      </c>
      <c r="F147" s="64">
        <f t="shared" ref="F147:F154" si="31">+D147-E147</f>
        <v>0</v>
      </c>
      <c r="G147" s="7">
        <f t="shared" ref="G147:G156" si="32">IF(E147=0,"NA",(+D147-E147)/E147)</f>
        <v>0</v>
      </c>
    </row>
    <row r="148" spans="1:8" x14ac:dyDescent="0.25">
      <c r="B148" s="1" t="s">
        <v>102</v>
      </c>
      <c r="D148" s="52">
        <f>+Final!D148</f>
        <v>5000</v>
      </c>
      <c r="E148" s="47">
        <v>5000</v>
      </c>
      <c r="F148" s="64">
        <f t="shared" si="31"/>
        <v>0</v>
      </c>
      <c r="G148" s="7">
        <f t="shared" si="32"/>
        <v>0</v>
      </c>
    </row>
    <row r="149" spans="1:8" x14ac:dyDescent="0.25">
      <c r="B149" s="1" t="s">
        <v>103</v>
      </c>
      <c r="D149" s="52">
        <f>+Final!D149</f>
        <v>2500</v>
      </c>
      <c r="E149" s="47">
        <v>2500</v>
      </c>
      <c r="F149" s="64">
        <f t="shared" si="31"/>
        <v>0</v>
      </c>
      <c r="G149" s="7">
        <f t="shared" si="32"/>
        <v>0</v>
      </c>
    </row>
    <row r="150" spans="1:8" ht="28.5" customHeight="1" x14ac:dyDescent="0.25">
      <c r="B150" s="68" t="s">
        <v>135</v>
      </c>
      <c r="C150" s="68"/>
      <c r="D150" s="52">
        <f>+Final!D150</f>
        <v>2700</v>
      </c>
      <c r="E150" s="47">
        <v>2700</v>
      </c>
      <c r="F150" s="64">
        <f t="shared" si="31"/>
        <v>0</v>
      </c>
      <c r="G150" s="7">
        <f t="shared" si="32"/>
        <v>0</v>
      </c>
    </row>
    <row r="151" spans="1:8" x14ac:dyDescent="0.25">
      <c r="B151" s="1" t="s">
        <v>104</v>
      </c>
      <c r="D151" s="52">
        <f>+Final!D151</f>
        <v>7000</v>
      </c>
      <c r="E151" s="47">
        <v>10000</v>
      </c>
      <c r="F151" s="64">
        <f t="shared" si="31"/>
        <v>-3000</v>
      </c>
      <c r="G151" s="7">
        <f t="shared" si="32"/>
        <v>-0.3</v>
      </c>
      <c r="H151" s="46" t="s">
        <v>169</v>
      </c>
    </row>
    <row r="152" spans="1:8" x14ac:dyDescent="0.25">
      <c r="B152" s="1" t="s">
        <v>105</v>
      </c>
      <c r="D152" s="52">
        <f>+Final!D152</f>
        <v>0</v>
      </c>
      <c r="E152" s="47">
        <v>0</v>
      </c>
      <c r="F152" s="64">
        <f t="shared" si="31"/>
        <v>0</v>
      </c>
      <c r="G152" s="7" t="str">
        <f t="shared" si="32"/>
        <v>NA</v>
      </c>
    </row>
    <row r="153" spans="1:8" x14ac:dyDescent="0.25">
      <c r="B153" s="1" t="s">
        <v>107</v>
      </c>
      <c r="D153" s="52">
        <f>+Final!D153</f>
        <v>54900</v>
      </c>
      <c r="E153" s="47">
        <v>54900</v>
      </c>
      <c r="F153" s="64">
        <f t="shared" si="31"/>
        <v>0</v>
      </c>
      <c r="G153" s="7">
        <f t="shared" si="32"/>
        <v>0</v>
      </c>
    </row>
    <row r="154" spans="1:8" x14ac:dyDescent="0.25">
      <c r="B154" s="1" t="s">
        <v>106</v>
      </c>
      <c r="D154" s="52">
        <f>+Final!D154</f>
        <v>1400</v>
      </c>
      <c r="E154" s="47">
        <v>1400</v>
      </c>
      <c r="F154" s="64">
        <f t="shared" si="31"/>
        <v>0</v>
      </c>
      <c r="G154" s="7">
        <f t="shared" si="32"/>
        <v>0</v>
      </c>
    </row>
    <row r="155" spans="1:8" s="5" customFormat="1" x14ac:dyDescent="0.25">
      <c r="A155" s="36" t="s">
        <v>108</v>
      </c>
      <c r="B155" s="36"/>
      <c r="C155" s="36"/>
      <c r="D155" s="36">
        <f>SUM(D147:D154)</f>
        <v>85500</v>
      </c>
      <c r="E155" s="61">
        <f>SUM(E147:E154)</f>
        <v>88500</v>
      </c>
      <c r="F155" s="61">
        <f>SUM(F147:F154)</f>
        <v>-3000</v>
      </c>
      <c r="G155" s="37">
        <f t="shared" si="32"/>
        <v>-3.3898305084745763E-2</v>
      </c>
      <c r="H155" s="14"/>
    </row>
    <row r="156" spans="1:8" x14ac:dyDescent="0.25">
      <c r="A156" s="36" t="s">
        <v>109</v>
      </c>
      <c r="B156" s="36"/>
      <c r="C156" s="36"/>
      <c r="D156" s="36">
        <f>+D144+D155</f>
        <v>128650</v>
      </c>
      <c r="E156" s="61">
        <f>+E144+E155</f>
        <v>131650</v>
      </c>
      <c r="F156" s="61">
        <f>+F144+F155</f>
        <v>-3000</v>
      </c>
      <c r="G156" s="37">
        <f t="shared" si="32"/>
        <v>-2.2787694644891759E-2</v>
      </c>
    </row>
    <row r="157" spans="1:8" ht="4.5" customHeight="1" x14ac:dyDescent="0.25">
      <c r="G157" s="8"/>
    </row>
    <row r="158" spans="1:8" ht="18.75" x14ac:dyDescent="0.25">
      <c r="A158" s="11" t="s">
        <v>110</v>
      </c>
      <c r="G158" s="8"/>
    </row>
    <row r="159" spans="1:8" x14ac:dyDescent="0.25">
      <c r="A159" s="5" t="s">
        <v>111</v>
      </c>
      <c r="G159" s="8"/>
    </row>
    <row r="160" spans="1:8" x14ac:dyDescent="0.25">
      <c r="B160" s="1" t="s">
        <v>112</v>
      </c>
      <c r="D160" s="52">
        <f>+Final!D160</f>
        <v>0</v>
      </c>
      <c r="E160" s="47">
        <v>0</v>
      </c>
      <c r="F160" s="64">
        <f t="shared" ref="F160:F163" si="33">+D160-E160</f>
        <v>0</v>
      </c>
      <c r="G160" s="7" t="str">
        <f t="shared" ref="G160:G164" si="34">IF(E160=0,"NA",(+D160-E160)/E160)</f>
        <v>NA</v>
      </c>
    </row>
    <row r="161" spans="1:8" x14ac:dyDescent="0.25">
      <c r="B161" s="1" t="s">
        <v>113</v>
      </c>
      <c r="D161" s="52">
        <f>+Final!D161</f>
        <v>5000</v>
      </c>
      <c r="E161" s="47">
        <v>5000</v>
      </c>
      <c r="F161" s="64">
        <f t="shared" si="33"/>
        <v>0</v>
      </c>
      <c r="G161" s="7">
        <f t="shared" si="34"/>
        <v>0</v>
      </c>
    </row>
    <row r="162" spans="1:8" x14ac:dyDescent="0.25">
      <c r="B162" s="1" t="s">
        <v>114</v>
      </c>
      <c r="D162" s="52">
        <f>+Final!D162</f>
        <v>0</v>
      </c>
      <c r="E162" s="47">
        <v>0</v>
      </c>
      <c r="F162" s="64">
        <f t="shared" si="33"/>
        <v>0</v>
      </c>
      <c r="G162" s="7" t="str">
        <f t="shared" si="34"/>
        <v>NA</v>
      </c>
    </row>
    <row r="163" spans="1:8" x14ac:dyDescent="0.25">
      <c r="B163" s="1" t="s">
        <v>115</v>
      </c>
      <c r="D163" s="52">
        <f>+Final!D163</f>
        <v>5000</v>
      </c>
      <c r="E163" s="47">
        <v>5000</v>
      </c>
      <c r="F163" s="64">
        <f t="shared" si="33"/>
        <v>0</v>
      </c>
      <c r="G163" s="7">
        <f t="shared" si="34"/>
        <v>0</v>
      </c>
    </row>
    <row r="164" spans="1:8" s="5" customFormat="1" x14ac:dyDescent="0.25">
      <c r="A164" s="38" t="s">
        <v>116</v>
      </c>
      <c r="B164" s="38"/>
      <c r="C164" s="38"/>
      <c r="D164" s="38">
        <f>SUM(D160:D163)</f>
        <v>10000</v>
      </c>
      <c r="E164" s="62">
        <f>SUM(E160:E163)</f>
        <v>10000</v>
      </c>
      <c r="F164" s="62">
        <f>SUM(F160:F163)</f>
        <v>0</v>
      </c>
      <c r="G164" s="39">
        <f t="shared" si="34"/>
        <v>0</v>
      </c>
      <c r="H164" s="14"/>
    </row>
    <row r="165" spans="1:8" ht="7.5" customHeight="1" x14ac:dyDescent="0.25">
      <c r="G165" s="8"/>
    </row>
    <row r="166" spans="1:8" x14ac:dyDescent="0.25">
      <c r="A166" s="40" t="s">
        <v>117</v>
      </c>
      <c r="B166" s="41"/>
      <c r="C166" s="41"/>
      <c r="D166" s="40">
        <f>+D82+D133+D156+D164+D31</f>
        <v>572505</v>
      </c>
      <c r="E166" s="63">
        <f>+E82+E133+E156+E164+E31</f>
        <v>580036.4</v>
      </c>
      <c r="F166" s="63">
        <f>ROUND(+F82+F133+F156+F164+F31,0)</f>
        <v>-7532</v>
      </c>
      <c r="G166" s="42">
        <f t="shared" ref="G166:G167" si="35">IF(E166=0,"NA",(+D166-E166)/E166)</f>
        <v>-1.2984357533423804E-2</v>
      </c>
    </row>
    <row r="167" spans="1:8" x14ac:dyDescent="0.25">
      <c r="A167" s="40" t="s">
        <v>118</v>
      </c>
      <c r="B167" s="41"/>
      <c r="C167" s="41"/>
      <c r="D167" s="40">
        <f>+D22-D166</f>
        <v>0</v>
      </c>
      <c r="E167" s="63">
        <f>+E22-E166</f>
        <v>0.19999999995343387</v>
      </c>
      <c r="F167" s="63">
        <f>ROUND(+F22-F166,0)</f>
        <v>0</v>
      </c>
      <c r="G167" s="42">
        <f t="shared" si="35"/>
        <v>-1</v>
      </c>
    </row>
    <row r="168" spans="1:8" x14ac:dyDescent="0.25">
      <c r="G168" s="8"/>
    </row>
    <row r="169" spans="1:8" x14ac:dyDescent="0.25">
      <c r="G169" s="8"/>
    </row>
    <row r="170" spans="1:8" x14ac:dyDescent="0.25">
      <c r="G170" s="8"/>
    </row>
    <row r="171" spans="1:8" x14ac:dyDescent="0.25">
      <c r="G171" s="8"/>
    </row>
    <row r="172" spans="1:8" x14ac:dyDescent="0.25">
      <c r="G172" s="8"/>
    </row>
    <row r="173" spans="1:8" x14ac:dyDescent="0.25">
      <c r="G173" s="8"/>
    </row>
    <row r="174" spans="1:8" x14ac:dyDescent="0.25">
      <c r="G174" s="8"/>
    </row>
    <row r="175" spans="1:8" x14ac:dyDescent="0.25">
      <c r="G175" s="8"/>
    </row>
    <row r="176" spans="1:8" x14ac:dyDescent="0.25">
      <c r="G176" s="8"/>
    </row>
    <row r="177" spans="7:7" x14ac:dyDescent="0.25">
      <c r="G177" s="8"/>
    </row>
    <row r="178" spans="7:7" x14ac:dyDescent="0.25">
      <c r="G178" s="8"/>
    </row>
    <row r="179" spans="7:7" x14ac:dyDescent="0.25">
      <c r="G179" s="8"/>
    </row>
    <row r="180" spans="7:7" x14ac:dyDescent="0.25">
      <c r="G180" s="8"/>
    </row>
    <row r="181" spans="7:7" x14ac:dyDescent="0.25">
      <c r="G181" s="8"/>
    </row>
    <row r="182" spans="7:7" x14ac:dyDescent="0.25">
      <c r="G182" s="8"/>
    </row>
    <row r="183" spans="7:7" x14ac:dyDescent="0.25">
      <c r="G183" s="8"/>
    </row>
    <row r="184" spans="7:7" x14ac:dyDescent="0.25">
      <c r="G184" s="8"/>
    </row>
    <row r="185" spans="7:7" x14ac:dyDescent="0.25">
      <c r="G185" s="8"/>
    </row>
    <row r="186" spans="7:7" x14ac:dyDescent="0.25">
      <c r="G186" s="8"/>
    </row>
    <row r="187" spans="7:7" x14ac:dyDescent="0.25">
      <c r="G187" s="8"/>
    </row>
    <row r="188" spans="7:7" x14ac:dyDescent="0.25">
      <c r="G188" s="8"/>
    </row>
    <row r="189" spans="7:7" x14ac:dyDescent="0.25">
      <c r="G189" s="8"/>
    </row>
  </sheetData>
  <mergeCells count="4">
    <mergeCell ref="A1:H1"/>
    <mergeCell ref="A2:H2"/>
    <mergeCell ref="D3:G3"/>
    <mergeCell ref="B150:C150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Changes</vt:lpstr>
      <vt:lpstr>Changes!Print_Titles</vt:lpstr>
      <vt:lpstr>Final!Print_Titles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2012-01-27T17:37:09Z</dcterms:modified>
</cp:coreProperties>
</file>